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tabRatio="638" activeTab="1"/>
  </bookViews>
  <sheets>
    <sheet name="план ППР" sheetId="1" r:id="rId1"/>
    <sheet name="отчет ППР" sheetId="2" r:id="rId2"/>
    <sheet name="план работ по сан.содержанию" sheetId="3" r:id="rId3"/>
  </sheets>
  <externalReferences>
    <externalReference r:id="rId6"/>
  </externalReferences>
  <definedNames>
    <definedName name="_xlnm.Print_Titles" localSheetId="0">'план ППР'!$1:$1</definedName>
  </definedNames>
  <calcPr fullCalcOnLoad="1"/>
</workbook>
</file>

<file path=xl/comments1.xml><?xml version="1.0" encoding="utf-8"?>
<comments xmlns="http://schemas.openxmlformats.org/spreadsheetml/2006/main">
  <authors>
    <author>pto2</author>
  </authors>
  <commentList>
    <comment ref="O1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1 подъезд
</t>
        </r>
      </text>
    </comment>
    <comment ref="J35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кв.46-кухня
</t>
        </r>
      </text>
    </comment>
    <comment ref="O35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крыльцо 7 под.
</t>
        </r>
      </text>
    </comment>
    <comment ref="Z36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д108
</t>
        </r>
      </text>
    </comment>
    <comment ref="AB36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д89-15 мп,
задвижки д80-1 шт.
д50-1 шт.
</t>
        </r>
      </text>
    </comment>
    <comment ref="AB4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д89-15мп, врезки д25-4 шт. калачи д159-3шт.
</t>
        </r>
      </text>
    </comment>
    <comment ref="Z42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д100
</t>
        </r>
      </text>
    </comment>
    <comment ref="AD42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д100
</t>
        </r>
      </text>
    </comment>
    <comment ref="AE42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</t>
        </r>
      </text>
    </comment>
    <comment ref="AB4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д89-10мп, врезки д25-3
 шт. </t>
        </r>
      </text>
    </comment>
    <comment ref="O4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крыльцо 3 под.
</t>
        </r>
      </text>
    </comment>
    <comment ref="O4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крыльцо-1под.
</t>
        </r>
      </text>
    </comment>
    <comment ref="T4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закрыть штробы-75м2
</t>
        </r>
      </text>
    </comment>
    <comment ref="AB50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д89-15мп, врезки д25-4 шт.</t>
        </r>
      </text>
    </comment>
    <comment ref="O66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J6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кв.104 зал 3 м,
кв.108 зал, 
кухня 6м</t>
        </r>
      </text>
    </comment>
    <comment ref="J7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13 спальня 6м
</t>
        </r>
      </text>
    </comment>
    <comment ref="J7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кв.69 кухня, детская 6м
</t>
        </r>
      </text>
    </comment>
    <comment ref="O82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O86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J8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кв.21 спальня, зал, кухня 9м
</t>
        </r>
      </text>
    </comment>
    <comment ref="O9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O92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O9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пол тамбура
</t>
        </r>
      </text>
    </comment>
    <comment ref="O10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O105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O10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пол тамбура
</t>
        </r>
      </text>
    </comment>
    <comment ref="O108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и пол тамбура
</t>
        </r>
      </text>
    </comment>
    <comment ref="O110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O11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O112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J11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две квартиры номер ??
</t>
        </r>
      </text>
    </comment>
    <comment ref="Z11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д80
</t>
        </r>
      </text>
    </comment>
    <comment ref="Z12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д20
</t>
        </r>
      </text>
    </comment>
    <comment ref="Z132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калачи д159
</t>
        </r>
      </text>
    </comment>
    <comment ref="J134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106
</t>
        </r>
      </text>
    </comment>
    <comment ref="J135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кв.121 выполнено?
</t>
        </r>
      </text>
    </comment>
    <comment ref="AB135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кв.39-циркуль восстановить
</t>
        </r>
      </text>
    </comment>
    <comment ref="J14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161, 165
</t>
        </r>
      </text>
    </comment>
    <comment ref="AF14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д-40 пп</t>
        </r>
      </text>
    </comment>
    <comment ref="Z144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д20
</t>
        </r>
      </text>
    </comment>
    <comment ref="J146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200-?
</t>
        </r>
      </text>
    </comment>
    <comment ref="Z146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</t>
        </r>
      </text>
    </comment>
    <comment ref="H14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козырек балкона кв. 158?
</t>
        </r>
      </text>
    </comment>
    <comment ref="J148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358, 359 - ??
</t>
        </r>
      </text>
    </comment>
    <comment ref="J15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1-9м, 5-12м, 36-9м, 105 (или кровля), 108-6м
</t>
        </r>
      </text>
    </comment>
    <comment ref="T155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2 подъезд
</t>
        </r>
      </text>
    </comment>
    <comment ref="O15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- 3 шт. во 2 под.
</t>
        </r>
      </text>
    </comment>
    <comment ref="T15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2 подъезд
</t>
        </r>
      </text>
    </comment>
    <comment ref="T16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2 подъезд
</t>
        </r>
      </text>
    </comment>
    <comment ref="J16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кв.59
</t>
        </r>
      </text>
    </comment>
    <comment ref="J168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7,49 и ?, кв. 13 - промыть радиатор</t>
        </r>
      </text>
    </comment>
    <comment ref="J174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кв.1-24мп
</t>
        </r>
      </text>
    </comment>
    <comment ref="J17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кв.59-12м
</t>
        </r>
      </text>
    </comment>
    <comment ref="J186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кв.15 зал 12м
кв.13 кухня, спальни 15м
</t>
        </r>
      </text>
    </comment>
    <comment ref="J18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кв.150</t>
        </r>
      </text>
    </comment>
    <comment ref="J190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кв.213-кухня 3м,
кв.114-кухня,зал,спал.18м</t>
        </r>
      </text>
    </comment>
  </commentList>
</comments>
</file>

<file path=xl/comments2.xml><?xml version="1.0" encoding="utf-8"?>
<comments xmlns="http://schemas.openxmlformats.org/spreadsheetml/2006/main">
  <authors>
    <author>pto2</author>
  </authors>
  <commentList>
    <comment ref="U14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1 подъезд
</t>
        </r>
      </text>
    </comment>
    <comment ref="L30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22-6мп
</t>
        </r>
      </text>
    </comment>
    <comment ref="L38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кв.46-кухня
</t>
        </r>
      </text>
    </comment>
    <comment ref="U38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крыльцо 7 под.
</t>
        </r>
      </text>
    </comment>
    <comment ref="AN3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д108
</t>
        </r>
      </text>
    </comment>
    <comment ref="AP3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д108
</t>
        </r>
      </text>
    </comment>
    <comment ref="AR3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д89-15 мп,
задвижки д80-1 шт.
д50-1 шт.
</t>
        </r>
      </text>
    </comment>
    <comment ref="AT3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д89-15 мп,
задвижки д80-1 шт.
д50-1 шт.
</t>
        </r>
      </text>
    </comment>
    <comment ref="AR44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д89-15мп, врезки д25-4 шт. калачи д159-3шт.
</t>
        </r>
      </text>
    </comment>
    <comment ref="AT44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д89-15мп, врезки д25-4 шт. калачи д159-3шт.
</t>
        </r>
      </text>
    </comment>
    <comment ref="AN45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д100
</t>
        </r>
      </text>
    </comment>
    <comment ref="AP45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д100
</t>
        </r>
      </text>
    </comment>
    <comment ref="AV45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д100
</t>
        </r>
      </text>
    </comment>
    <comment ref="AW45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</t>
        </r>
      </text>
    </comment>
    <comment ref="AX45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д100
</t>
        </r>
      </text>
    </comment>
    <comment ref="AY45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</t>
        </r>
      </text>
    </comment>
    <comment ref="AR46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д89-10мп, врезки д25-3
 шт. </t>
        </r>
      </text>
    </comment>
    <comment ref="AT46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д89-10мп, врезки д25-3
 шт. </t>
        </r>
      </text>
    </comment>
    <comment ref="U5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крыльцо 3 под.
</t>
        </r>
      </text>
    </comment>
    <comment ref="U5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крыльцо-1под.
</t>
        </r>
      </text>
    </comment>
    <comment ref="W5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крыльцо-1под.
</t>
        </r>
      </text>
    </comment>
    <comment ref="AC5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закрыть штробы-75м2
</t>
        </r>
      </text>
    </comment>
    <comment ref="AV5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д100
</t>
        </r>
      </text>
    </comment>
    <comment ref="AW5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</t>
        </r>
      </text>
    </comment>
    <comment ref="AX5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д100
</t>
        </r>
      </text>
    </comment>
    <comment ref="AY5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</t>
        </r>
      </text>
    </comment>
    <comment ref="AR58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д89-15мп, врезки д25-4 шт.</t>
        </r>
      </text>
    </comment>
    <comment ref="AT58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д89-15мп, врезки д25-4 шт.</t>
        </r>
      </text>
    </comment>
    <comment ref="U74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W74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L75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кв.104 зал 3 м,
кв.108 зал, 
кухня 6м</t>
        </r>
      </text>
    </comment>
    <comment ref="N75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46 - 89504828926</t>
        </r>
      </text>
    </comment>
    <comment ref="L8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13 спальня 6м
</t>
        </r>
      </text>
    </comment>
    <comment ref="L8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кв.69 кухня, детская 6м
</t>
        </r>
      </text>
    </comment>
    <comment ref="U90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W90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U94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W94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L95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кв.21 спальня, зал, кухня 9м
</t>
        </r>
      </text>
    </comment>
    <comment ref="U9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W9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U100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W100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U11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пол тамбура
</t>
        </r>
      </text>
    </comment>
    <comment ref="J114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180
</t>
        </r>
      </text>
    </comment>
    <comment ref="U115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пандус 4 под.
</t>
        </r>
      </text>
    </comment>
    <comment ref="U11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U11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пол тамбура
</t>
        </r>
      </text>
    </comment>
    <comment ref="U120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и пол тамбура
</t>
        </r>
      </text>
    </comment>
    <comment ref="U122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U12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U124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крыльца
</t>
        </r>
      </text>
    </comment>
    <comment ref="L12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две квартиры номер ??
</t>
        </r>
      </text>
    </comment>
    <comment ref="AN12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д80
</t>
        </r>
      </text>
    </comment>
    <comment ref="AN14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д20
</t>
        </r>
      </text>
    </comment>
    <comment ref="AN144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калачи д159
</t>
        </r>
      </text>
    </comment>
    <comment ref="L146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106
</t>
        </r>
      </text>
    </comment>
    <comment ref="L15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кв.121 выполнено?
</t>
        </r>
      </text>
    </comment>
    <comment ref="AR15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кв.39-циркуль восстановить
</t>
        </r>
      </text>
    </comment>
    <comment ref="AP15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калачи д159
</t>
        </r>
      </text>
    </comment>
    <comment ref="L15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161, 165
</t>
        </r>
      </text>
    </comment>
    <comment ref="AZ15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д-40 пп</t>
        </r>
      </text>
    </comment>
    <comment ref="AN160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д20
</t>
        </r>
      </text>
    </comment>
    <comment ref="AP160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д20
</t>
        </r>
      </text>
    </comment>
    <comment ref="L16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294 - 4,5мп
</t>
        </r>
      </text>
    </comment>
    <comment ref="L162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200-?
</t>
        </r>
      </text>
    </comment>
    <comment ref="AN162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</t>
        </r>
      </text>
    </comment>
    <comment ref="H16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козырек балкона кв. 158?
</t>
        </r>
      </text>
    </comment>
    <comment ref="L164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358, 359 - ??
</t>
        </r>
      </text>
    </comment>
    <comment ref="AH166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акт подписан на 3 м2</t>
        </r>
      </text>
    </comment>
    <comment ref="L16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1-9м, 5-12м, 36-9м, 105 (или кровля), 108-6м
</t>
        </r>
      </text>
    </comment>
    <comment ref="AC17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2 подъезд
</t>
        </r>
      </text>
    </comment>
    <comment ref="AE17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2 подъезд
</t>
        </r>
      </text>
    </comment>
    <comment ref="U175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ступени - 3 шт. во 2 под.
</t>
        </r>
      </text>
    </comment>
    <comment ref="AC175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2 подъезд
</t>
        </r>
      </text>
    </comment>
    <comment ref="AE175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2 подъезд
</t>
        </r>
      </text>
    </comment>
    <comment ref="AC17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2 подъезд
</t>
        </r>
      </text>
    </comment>
    <comment ref="AE17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2 подъезд
</t>
        </r>
      </text>
    </comment>
    <comment ref="L183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кв.59
</t>
        </r>
      </text>
    </comment>
    <comment ref="L184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7,49 и 41, кв. 13 - промыть радиатор</t>
        </r>
      </text>
    </comment>
    <comment ref="L19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 79-17мп</t>
        </r>
      </text>
    </comment>
    <comment ref="L194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кв.1-24мп
</t>
        </r>
      </text>
    </comment>
    <comment ref="L197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кв.59-12м
</t>
        </r>
      </text>
    </comment>
    <comment ref="L206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кв.15 зал 12м
кв.13 кухня, спальни 15м
</t>
        </r>
      </text>
    </comment>
    <comment ref="L208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кв.150</t>
        </r>
      </text>
    </comment>
    <comment ref="L211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кв.213-кухня 3м,
кв.114-кухня,зал,спал.18м</t>
        </r>
      </text>
    </comment>
    <comment ref="H226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кв.298 - козырек</t>
        </r>
      </text>
    </comment>
    <comment ref="J226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кв.298 - козырек</t>
        </r>
      </text>
    </comment>
  </commentList>
</comments>
</file>

<file path=xl/comments3.xml><?xml version="1.0" encoding="utf-8"?>
<comments xmlns="http://schemas.openxmlformats.org/spreadsheetml/2006/main">
  <authors>
    <author>User</author>
    <author>5</author>
  </authors>
  <commentList>
    <comment ref="H20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1-7под.-9эт.
8под.-7эт.
9под.-5эт.
</t>
        </r>
      </text>
    </comment>
    <comment ref="K203" authorId="1">
      <text>
        <r>
          <rPr>
            <b/>
            <sz val="8"/>
            <rFont val="Tahoma"/>
            <family val="2"/>
          </rPr>
          <t>5:кв. 1-8,39-46 не польз лифтом</t>
        </r>
        <r>
          <rPr>
            <sz val="8"/>
            <rFont val="Tahoma"/>
            <family val="2"/>
          </rPr>
          <t xml:space="preserve">
</t>
        </r>
      </text>
    </comment>
    <comment ref="J20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мусоропровод заварен
3 шт. письмо от 31.05.05</t>
        </r>
      </text>
    </comment>
    <comment ref="K207" authorId="1">
      <text>
        <r>
          <rPr>
            <b/>
            <sz val="8"/>
            <rFont val="Tahoma"/>
            <family val="2"/>
          </rPr>
          <t>5:1этаж-нет квартир, 2-1 этаж-кв. 1-5,14-42,43-47,83-84,84а,85-91,127,128,128а,129-135,171,175-179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<sst xmlns="http://schemas.openxmlformats.org/spreadsheetml/2006/main" count="1507" uniqueCount="203">
  <si>
    <t>№ п/п</t>
  </si>
  <si>
    <t>Адрес</t>
  </si>
  <si>
    <t>Общая стоимость затрат</t>
  </si>
  <si>
    <t>Виды ремонтных работ, в т.ч.:</t>
  </si>
  <si>
    <t xml:space="preserve"> промывка систем, шт        </t>
  </si>
  <si>
    <t>Подготовлен  и сдан по акту,   дата</t>
  </si>
  <si>
    <t>Исполнитель</t>
  </si>
  <si>
    <t>Ответственный</t>
  </si>
  <si>
    <t>Примечание</t>
  </si>
  <si>
    <t xml:space="preserve"> конструктивные элементы, в т.ч.:</t>
  </si>
  <si>
    <t>внутридомовые сети в т. ч.:</t>
  </si>
  <si>
    <t>Улица</t>
  </si>
  <si>
    <t>№ дома</t>
  </si>
  <si>
    <t>лит.</t>
  </si>
  <si>
    <t>Всего тыс. руб.</t>
  </si>
  <si>
    <t>за счет средств организаций тыс. руб.</t>
  </si>
  <si>
    <t>за счет средств бюджета тыс. руб.</t>
  </si>
  <si>
    <t>межпанельные швы,   тыс.м</t>
  </si>
  <si>
    <t>подъезды, шт</t>
  </si>
  <si>
    <t>подвалы, шт</t>
  </si>
  <si>
    <t>печи,  шт</t>
  </si>
  <si>
    <t xml:space="preserve">      отопление, тыс.м.</t>
  </si>
  <si>
    <t>ГВС, тыс.м</t>
  </si>
  <si>
    <t>ХВС , тыс.м.</t>
  </si>
  <si>
    <t>Подрядчик</t>
  </si>
  <si>
    <t>водоподогреватели,   шт.</t>
  </si>
  <si>
    <t>тепловые узлы, шт</t>
  </si>
  <si>
    <t xml:space="preserve">      электроснабжение, тыс.м.</t>
  </si>
  <si>
    <t>т.м2</t>
  </si>
  <si>
    <t>т.руб.</t>
  </si>
  <si>
    <t>т.м</t>
  </si>
  <si>
    <t>шт.</t>
  </si>
  <si>
    <t xml:space="preserve">Д. Бедного </t>
  </si>
  <si>
    <t>Шкатуло</t>
  </si>
  <si>
    <t>Светлана</t>
  </si>
  <si>
    <t>Инженерная</t>
  </si>
  <si>
    <t>Николаевна</t>
  </si>
  <si>
    <t>Мельникайте</t>
  </si>
  <si>
    <t>з/а-1шт</t>
  </si>
  <si>
    <t>Ставропольская</t>
  </si>
  <si>
    <t>Б</t>
  </si>
  <si>
    <t>А</t>
  </si>
  <si>
    <t>Федюнинского</t>
  </si>
  <si>
    <t>Чаплина</t>
  </si>
  <si>
    <t>30  лет  Победы</t>
  </si>
  <si>
    <t>Грищенко</t>
  </si>
  <si>
    <t>Сергей</t>
  </si>
  <si>
    <t>Пермякова</t>
  </si>
  <si>
    <t>Борисович</t>
  </si>
  <si>
    <t xml:space="preserve">Пермякова </t>
  </si>
  <si>
    <t>Ткацкий</t>
  </si>
  <si>
    <t>Широтная</t>
  </si>
  <si>
    <t>з/а-2шт.</t>
  </si>
  <si>
    <t>Монтажников</t>
  </si>
  <si>
    <t>Кудрявцев</t>
  </si>
  <si>
    <t>Евгений</t>
  </si>
  <si>
    <t>Владиславович</t>
  </si>
  <si>
    <t>Олимпийская</t>
  </si>
  <si>
    <t>Алексеев</t>
  </si>
  <si>
    <t>Дегтярев</t>
  </si>
  <si>
    <t>Александр</t>
  </si>
  <si>
    <t>Михайлович</t>
  </si>
  <si>
    <t xml:space="preserve">30  лет  Победы </t>
  </si>
  <si>
    <t xml:space="preserve">30  лет  Победы  </t>
  </si>
  <si>
    <t>Логунова</t>
  </si>
  <si>
    <t>Фёдорова</t>
  </si>
  <si>
    <t>к.1</t>
  </si>
  <si>
    <t>Гнаровской</t>
  </si>
  <si>
    <t>Михайлов</t>
  </si>
  <si>
    <t>Михаил</t>
  </si>
  <si>
    <t>Кишиневская</t>
  </si>
  <si>
    <t>Сергеевич</t>
  </si>
  <si>
    <t>проезд 9 Мая</t>
  </si>
  <si>
    <t>В</t>
  </si>
  <si>
    <t>Григорьев</t>
  </si>
  <si>
    <t>Вольдемарович</t>
  </si>
  <si>
    <t>Боровская</t>
  </si>
  <si>
    <t>Космонавтов</t>
  </si>
  <si>
    <t>Моторостроителей</t>
  </si>
  <si>
    <t>Народная (2 под)</t>
  </si>
  <si>
    <t>Станционная</t>
  </si>
  <si>
    <t xml:space="preserve">Станционная </t>
  </si>
  <si>
    <t>Таллинская</t>
  </si>
  <si>
    <t>Энергостроителей</t>
  </si>
  <si>
    <t>Алексей</t>
  </si>
  <si>
    <t>Валерьевич</t>
  </si>
  <si>
    <t>ремонт входных дверей, шт</t>
  </si>
  <si>
    <t>смена дверных блоков, шт.</t>
  </si>
  <si>
    <t>остекление, м2</t>
  </si>
  <si>
    <t>Н.Фёдорова</t>
  </si>
  <si>
    <t>смена водоподогревателя</t>
  </si>
  <si>
    <t>смена водоподогревателя 6 секций №10</t>
  </si>
  <si>
    <t>канализация, тыс.м. (+утепление)</t>
  </si>
  <si>
    <t>УК по СЖФ</t>
  </si>
  <si>
    <t>в том числе по ООО:</t>
  </si>
  <si>
    <t>Начальник ПТО</t>
  </si>
  <si>
    <t>С.Г.Макушина</t>
  </si>
  <si>
    <t>Ремонт двор. туалетов, шт.</t>
  </si>
  <si>
    <t>кровля, ко-зырьки, тыс.м2</t>
  </si>
  <si>
    <t>фасад</t>
  </si>
  <si>
    <t>п/п</t>
  </si>
  <si>
    <t>Г.</t>
  </si>
  <si>
    <t>№</t>
  </si>
  <si>
    <t>Дом</t>
  </si>
  <si>
    <t>Литер</t>
  </si>
  <si>
    <t>Корпус</t>
  </si>
  <si>
    <t>характеристика МКД</t>
  </si>
  <si>
    <t>Площадь уборки мест общего пользования и придом.терр., кв.м.</t>
  </si>
  <si>
    <t>Полезная площадь МКД</t>
  </si>
  <si>
    <t>кол-во подъездов</t>
  </si>
  <si>
    <t>кол-во этажей</t>
  </si>
  <si>
    <t>кол-во мусоропр.</t>
  </si>
  <si>
    <t>(кв-ры не польз. м/пр.)</t>
  </si>
  <si>
    <t>(кв-ры не польз.лифтом)</t>
  </si>
  <si>
    <t>Корид.</t>
  </si>
  <si>
    <t>Л/клет.</t>
  </si>
  <si>
    <t>Асфальт</t>
  </si>
  <si>
    <t>З/нас.</t>
  </si>
  <si>
    <t>Уличн.</t>
  </si>
  <si>
    <t>Грунт</t>
  </si>
  <si>
    <t>итого 1й микр-н</t>
  </si>
  <si>
    <t>итого 3й микр-н</t>
  </si>
  <si>
    <t>30 лет Победы</t>
  </si>
  <si>
    <t xml:space="preserve">6 (3,4 п.) </t>
  </si>
  <si>
    <t xml:space="preserve">6 кор.1 </t>
  </si>
  <si>
    <t>10-11</t>
  </si>
  <si>
    <t>итого 4-5 микр-н</t>
  </si>
  <si>
    <t>итого 6й микр-н</t>
  </si>
  <si>
    <t>итого 2й, Вост.микр-н, Войновка</t>
  </si>
  <si>
    <t>зав.</t>
  </si>
  <si>
    <t>итого МЖК</t>
  </si>
  <si>
    <t>1-8, 37-44</t>
  </si>
  <si>
    <t>итого ЛАО</t>
  </si>
  <si>
    <t>итого КАО</t>
  </si>
  <si>
    <t>ВсегоУК по СЖФ</t>
  </si>
  <si>
    <t>кол-во лифтов</t>
  </si>
  <si>
    <t>калач-1шт.</t>
  </si>
  <si>
    <t>План мероприятий по подготовке жилищного фонда ООО "УК по СЖФ" к эксплуатации в зимний период 2012-2013гг. по ООО "УК по СЖФ"</t>
  </si>
  <si>
    <t>отмостка,крыльца  тыс. м2</t>
  </si>
  <si>
    <t>окраска оконных створок, м2.</t>
  </si>
  <si>
    <t>сборки-10</t>
  </si>
  <si>
    <t>сборки-20</t>
  </si>
  <si>
    <t>рег-р дав.</t>
  </si>
  <si>
    <t>0,015</t>
  </si>
  <si>
    <t>з/ар.-1шт</t>
  </si>
  <si>
    <t>11,808</t>
  </si>
  <si>
    <t>0,010</t>
  </si>
  <si>
    <t>сборки-34шт</t>
  </si>
  <si>
    <t>сборки-48шт</t>
  </si>
  <si>
    <t>сборки-14шт</t>
  </si>
  <si>
    <t>сборки-8шт, з/а-2шт.</t>
  </si>
  <si>
    <t>сборки-52шт</t>
  </si>
  <si>
    <t>сб.-12шт.</t>
  </si>
  <si>
    <t>к.-3шт.</t>
  </si>
  <si>
    <t>к.-2шт.</t>
  </si>
  <si>
    <t>сб.-7шт.</t>
  </si>
  <si>
    <t>з/а-4шт., сб-14шт</t>
  </si>
  <si>
    <t>з/а -16шт</t>
  </si>
  <si>
    <t>сб.-20</t>
  </si>
  <si>
    <t>сб.-20шт.</t>
  </si>
  <si>
    <t>к-2шт.</t>
  </si>
  <si>
    <t>калачи-2шт.</t>
  </si>
  <si>
    <t>калач-1, з/а-1шт.</t>
  </si>
  <si>
    <t>калач-2, з/а-1шт.</t>
  </si>
  <si>
    <t>План   работ по санитарному содержанию мест общего пользования и придомовой территории ООО "УК по СЖФ" за 2012 год.</t>
  </si>
  <si>
    <t>Утверждаю</t>
  </si>
  <si>
    <t>Гл.инженер _________С.М.Дегтярев</t>
  </si>
  <si>
    <t>Отчет о выполнении плана мероприятий по подготовке жилищного фонда ООО "УК по СЖФ" к эксплуатации в зимний период 2012-2013 гг. по ООО "УК по СЖФ"</t>
  </si>
  <si>
    <t>на</t>
  </si>
  <si>
    <t>2012 г.</t>
  </si>
  <si>
    <t>ПЛАН, тыс. руб.</t>
  </si>
  <si>
    <t>ФАКТ, тыс. руб.</t>
  </si>
  <si>
    <t xml:space="preserve">канализация, тыс.м. </t>
  </si>
  <si>
    <t>план</t>
  </si>
  <si>
    <t>факт</t>
  </si>
  <si>
    <t>Итого "ЖЭУ-9"</t>
  </si>
  <si>
    <t xml:space="preserve"> </t>
  </si>
  <si>
    <t>Итого "Инвест."</t>
  </si>
  <si>
    <t>Итого "Ж/серв."</t>
  </si>
  <si>
    <t>Итого "Соглас."</t>
  </si>
  <si>
    <t>2 шт.</t>
  </si>
  <si>
    <t>39 шт.</t>
  </si>
  <si>
    <t>калач-3шт.</t>
  </si>
  <si>
    <t>4 шт.</t>
  </si>
  <si>
    <t>1 шт.</t>
  </si>
  <si>
    <t>калач.-2шт.</t>
  </si>
  <si>
    <t>задв.-2, калач-1</t>
  </si>
  <si>
    <t>калач-2шт.</t>
  </si>
  <si>
    <t>сб.-19шт.</t>
  </si>
  <si>
    <t>з/а 6 шт.сб.30 шт</t>
  </si>
  <si>
    <t>16 шт.</t>
  </si>
  <si>
    <t>20 шт.</t>
  </si>
  <si>
    <t>калач-4шт.</t>
  </si>
  <si>
    <t>задв.-2</t>
  </si>
  <si>
    <t>2</t>
  </si>
  <si>
    <t>1шт.</t>
  </si>
  <si>
    <t>задв.-1шт.</t>
  </si>
  <si>
    <t>Итого "Универ."</t>
  </si>
  <si>
    <t>Итого"Креатив"</t>
  </si>
  <si>
    <t>калач-1</t>
  </si>
  <si>
    <t>калачи-3шт.</t>
  </si>
  <si>
    <t>Итого "Уют-С"</t>
  </si>
  <si>
    <t>"____" _________________ 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</si>
</sst>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#,##0.00&quot;р.&quot;"/>
    <numFmt numFmtId="167" formatCode="0.000"/>
    <numFmt numFmtId="168" formatCode="0.00;[Red]0.00"/>
    <numFmt numFmtId="169" formatCode="0;[Red]0"/>
    <numFmt numFmtId="170" formatCode="0.0;[Red]0.0"/>
    <numFmt numFmtId="171" formatCode="#,##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yr"/>
      <family val="2"/>
    </font>
    <font>
      <sz val="10"/>
      <color indexed="10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b/>
      <sz val="9"/>
      <color indexed="9"/>
      <name val="Times New Roman"/>
      <family val="1"/>
    </font>
    <font>
      <b/>
      <sz val="9"/>
      <name val="Arial Cyr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textRotation="90"/>
    </xf>
    <xf numFmtId="2" fontId="1" fillId="0" borderId="10" xfId="0" applyNumberFormat="1" applyFont="1" applyFill="1" applyBorder="1" applyAlignment="1">
      <alignment textRotation="90"/>
    </xf>
    <xf numFmtId="0" fontId="1" fillId="0" borderId="10" xfId="0" applyFont="1" applyFill="1" applyBorder="1" applyAlignment="1">
      <alignment textRotation="90"/>
    </xf>
    <xf numFmtId="0" fontId="2" fillId="0" borderId="11" xfId="0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1" fillId="0" borderId="12" xfId="52" applyNumberFormat="1" applyFont="1" applyFill="1" applyBorder="1" applyAlignment="1">
      <alignment horizontal="center" vertical="center"/>
      <protection/>
    </xf>
    <xf numFmtId="0" fontId="1" fillId="0" borderId="12" xfId="52" applyNumberFormat="1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52" applyNumberFormat="1" applyFont="1" applyFill="1" applyBorder="1" applyAlignment="1">
      <alignment horizontal="center" vertical="center"/>
      <protection/>
    </xf>
    <xf numFmtId="49" fontId="1" fillId="0" borderId="12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 textRotation="90"/>
    </xf>
    <xf numFmtId="2" fontId="1" fillId="0" borderId="10" xfId="0" applyNumberFormat="1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/>
    </xf>
    <xf numFmtId="49" fontId="7" fillId="0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textRotation="90" wrapText="1"/>
    </xf>
    <xf numFmtId="2" fontId="8" fillId="0" borderId="15" xfId="0" applyNumberFormat="1" applyFont="1" applyFill="1" applyBorder="1" applyAlignment="1">
      <alignment horizontal="center" vertical="center" textRotation="90" wrapText="1"/>
    </xf>
    <xf numFmtId="164" fontId="8" fillId="0" borderId="16" xfId="0" applyNumberFormat="1" applyFont="1" applyFill="1" applyBorder="1" applyAlignment="1">
      <alignment horizontal="center" vertical="center" textRotation="90" wrapText="1"/>
    </xf>
    <xf numFmtId="2" fontId="8" fillId="0" borderId="14" xfId="0" applyNumberFormat="1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164" fontId="8" fillId="0" borderId="17" xfId="0" applyNumberFormat="1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2" fontId="8" fillId="0" borderId="18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0" borderId="16" xfId="0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left" vertical="center"/>
    </xf>
    <xf numFmtId="168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168" fontId="10" fillId="0" borderId="14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2" xfId="0" applyNumberFormat="1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left"/>
    </xf>
    <xf numFmtId="2" fontId="11" fillId="34" borderId="12" xfId="0" applyNumberFormat="1" applyFont="1" applyFill="1" applyBorder="1" applyAlignment="1">
      <alignment/>
    </xf>
    <xf numFmtId="0" fontId="11" fillId="34" borderId="12" xfId="0" applyFont="1" applyFill="1" applyBorder="1" applyAlignment="1">
      <alignment/>
    </xf>
    <xf numFmtId="164" fontId="11" fillId="34" borderId="12" xfId="0" applyNumberFormat="1" applyFont="1" applyFill="1" applyBorder="1" applyAlignment="1">
      <alignment/>
    </xf>
    <xf numFmtId="0" fontId="11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left"/>
    </xf>
    <xf numFmtId="164" fontId="11" fillId="35" borderId="12" xfId="0" applyNumberFormat="1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11" fillId="36" borderId="12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left"/>
    </xf>
    <xf numFmtId="164" fontId="11" fillId="36" borderId="12" xfId="0" applyNumberFormat="1" applyFont="1" applyFill="1" applyBorder="1" applyAlignment="1">
      <alignment/>
    </xf>
    <xf numFmtId="0" fontId="11" fillId="36" borderId="12" xfId="0" applyFont="1" applyFill="1" applyBorder="1" applyAlignment="1">
      <alignment/>
    </xf>
    <xf numFmtId="0" fontId="11" fillId="37" borderId="12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left"/>
    </xf>
    <xf numFmtId="164" fontId="11" fillId="37" borderId="12" xfId="0" applyNumberFormat="1" applyFont="1" applyFill="1" applyBorder="1" applyAlignment="1">
      <alignment/>
    </xf>
    <xf numFmtId="0" fontId="11" fillId="37" borderId="12" xfId="0" applyFont="1" applyFill="1" applyBorder="1" applyAlignment="1">
      <alignment/>
    </xf>
    <xf numFmtId="2" fontId="11" fillId="35" borderId="12" xfId="0" applyNumberFormat="1" applyFont="1" applyFill="1" applyBorder="1" applyAlignment="1">
      <alignment/>
    </xf>
    <xf numFmtId="2" fontId="11" fillId="37" borderId="12" xfId="0" applyNumberFormat="1" applyFont="1" applyFill="1" applyBorder="1" applyAlignment="1">
      <alignment/>
    </xf>
    <xf numFmtId="0" fontId="11" fillId="37" borderId="14" xfId="0" applyFont="1" applyFill="1" applyBorder="1" applyAlignment="1">
      <alignment horizontal="left"/>
    </xf>
    <xf numFmtId="0" fontId="11" fillId="37" borderId="14" xfId="0" applyFont="1" applyFill="1" applyBorder="1" applyAlignment="1">
      <alignment horizontal="center"/>
    </xf>
    <xf numFmtId="2" fontId="11" fillId="37" borderId="14" xfId="0" applyNumberFormat="1" applyFont="1" applyFill="1" applyBorder="1" applyAlignment="1">
      <alignment/>
    </xf>
    <xf numFmtId="0" fontId="11" fillId="37" borderId="14" xfId="0" applyFont="1" applyFill="1" applyBorder="1" applyAlignment="1">
      <alignment/>
    </xf>
    <xf numFmtId="164" fontId="11" fillId="37" borderId="14" xfId="0" applyNumberFormat="1" applyFont="1" applyFill="1" applyBorder="1" applyAlignment="1">
      <alignment/>
    </xf>
    <xf numFmtId="0" fontId="11" fillId="38" borderId="12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left"/>
    </xf>
    <xf numFmtId="164" fontId="11" fillId="38" borderId="12" xfId="0" applyNumberFormat="1" applyFont="1" applyFill="1" applyBorder="1" applyAlignment="1">
      <alignment/>
    </xf>
    <xf numFmtId="0" fontId="11" fillId="38" borderId="12" xfId="0" applyFont="1" applyFill="1" applyBorder="1" applyAlignment="1">
      <alignment/>
    </xf>
    <xf numFmtId="2" fontId="11" fillId="38" borderId="12" xfId="0" applyNumberFormat="1" applyFont="1" applyFill="1" applyBorder="1" applyAlignment="1">
      <alignment/>
    </xf>
    <xf numFmtId="0" fontId="11" fillId="39" borderId="12" xfId="0" applyFont="1" applyFill="1" applyBorder="1" applyAlignment="1">
      <alignment horizontal="center"/>
    </xf>
    <xf numFmtId="0" fontId="11" fillId="39" borderId="12" xfId="0" applyFont="1" applyFill="1" applyBorder="1" applyAlignment="1">
      <alignment horizontal="left"/>
    </xf>
    <xf numFmtId="164" fontId="11" fillId="39" borderId="12" xfId="0" applyNumberFormat="1" applyFont="1" applyFill="1" applyBorder="1" applyAlignment="1">
      <alignment/>
    </xf>
    <xf numFmtId="0" fontId="11" fillId="39" borderId="12" xfId="0" applyFont="1" applyFill="1" applyBorder="1" applyAlignment="1">
      <alignment/>
    </xf>
    <xf numFmtId="0" fontId="11" fillId="40" borderId="12" xfId="0" applyFont="1" applyFill="1" applyBorder="1" applyAlignment="1">
      <alignment horizontal="center"/>
    </xf>
    <xf numFmtId="0" fontId="11" fillId="40" borderId="12" xfId="0" applyFont="1" applyFill="1" applyBorder="1" applyAlignment="1">
      <alignment horizontal="left"/>
    </xf>
    <xf numFmtId="2" fontId="11" fillId="40" borderId="12" xfId="0" applyNumberFormat="1" applyFont="1" applyFill="1" applyBorder="1" applyAlignment="1">
      <alignment/>
    </xf>
    <xf numFmtId="0" fontId="11" fillId="40" borderId="12" xfId="0" applyFont="1" applyFill="1" applyBorder="1" applyAlignment="1">
      <alignment/>
    </xf>
    <xf numFmtId="164" fontId="11" fillId="40" borderId="12" xfId="0" applyNumberFormat="1" applyFont="1" applyFill="1" applyBorder="1" applyAlignment="1">
      <alignment/>
    </xf>
    <xf numFmtId="0" fontId="9" fillId="41" borderId="12" xfId="0" applyFont="1" applyFill="1" applyBorder="1" applyAlignment="1">
      <alignment horizontal="center"/>
    </xf>
    <xf numFmtId="0" fontId="9" fillId="41" borderId="12" xfId="0" applyFont="1" applyFill="1" applyBorder="1" applyAlignment="1">
      <alignment/>
    </xf>
    <xf numFmtId="168" fontId="9" fillId="41" borderId="12" xfId="0" applyNumberFormat="1" applyFont="1" applyFill="1" applyBorder="1" applyAlignment="1">
      <alignment/>
    </xf>
    <xf numFmtId="169" fontId="9" fillId="41" borderId="12" xfId="0" applyNumberFormat="1" applyFont="1" applyFill="1" applyBorder="1" applyAlignment="1">
      <alignment/>
    </xf>
    <xf numFmtId="2" fontId="11" fillId="36" borderId="12" xfId="0" applyNumberFormat="1" applyFont="1" applyFill="1" applyBorder="1" applyAlignment="1">
      <alignment/>
    </xf>
    <xf numFmtId="2" fontId="11" fillId="39" borderId="12" xfId="0" applyNumberFormat="1" applyFont="1" applyFill="1" applyBorder="1" applyAlignment="1">
      <alignment/>
    </xf>
    <xf numFmtId="0" fontId="11" fillId="42" borderId="12" xfId="0" applyFont="1" applyFill="1" applyBorder="1" applyAlignment="1">
      <alignment horizontal="center"/>
    </xf>
    <xf numFmtId="0" fontId="11" fillId="42" borderId="12" xfId="0" applyFont="1" applyFill="1" applyBorder="1" applyAlignment="1">
      <alignment horizontal="left"/>
    </xf>
    <xf numFmtId="164" fontId="11" fillId="42" borderId="12" xfId="0" applyNumberFormat="1" applyFont="1" applyFill="1" applyBorder="1" applyAlignment="1">
      <alignment/>
    </xf>
    <xf numFmtId="0" fontId="11" fillId="42" borderId="12" xfId="0" applyFont="1" applyFill="1" applyBorder="1" applyAlignment="1">
      <alignment/>
    </xf>
    <xf numFmtId="0" fontId="11" fillId="43" borderId="12" xfId="0" applyFont="1" applyFill="1" applyBorder="1" applyAlignment="1">
      <alignment horizontal="center"/>
    </xf>
    <xf numFmtId="0" fontId="11" fillId="43" borderId="12" xfId="0" applyFont="1" applyFill="1" applyBorder="1" applyAlignment="1">
      <alignment horizontal="left"/>
    </xf>
    <xf numFmtId="164" fontId="11" fillId="43" borderId="12" xfId="0" applyNumberFormat="1" applyFont="1" applyFill="1" applyBorder="1" applyAlignment="1">
      <alignment/>
    </xf>
    <xf numFmtId="0" fontId="11" fillId="43" borderId="12" xfId="0" applyFont="1" applyFill="1" applyBorder="1" applyAlignment="1">
      <alignment/>
    </xf>
    <xf numFmtId="1" fontId="9" fillId="41" borderId="12" xfId="0" applyNumberFormat="1" applyFont="1" applyFill="1" applyBorder="1" applyAlignment="1">
      <alignment horizontal="center"/>
    </xf>
    <xf numFmtId="0" fontId="11" fillId="37" borderId="0" xfId="0" applyFont="1" applyFill="1" applyBorder="1" applyAlignment="1">
      <alignment/>
    </xf>
    <xf numFmtId="0" fontId="1" fillId="43" borderId="12" xfId="0" applyFont="1" applyFill="1" applyBorder="1" applyAlignment="1">
      <alignment horizontal="center"/>
    </xf>
    <xf numFmtId="0" fontId="1" fillId="43" borderId="12" xfId="0" applyFont="1" applyFill="1" applyBorder="1" applyAlignment="1">
      <alignment horizontal="left"/>
    </xf>
    <xf numFmtId="0" fontId="11" fillId="43" borderId="14" xfId="0" applyFont="1" applyFill="1" applyBorder="1" applyAlignment="1">
      <alignment horizontal="center"/>
    </xf>
    <xf numFmtId="164" fontId="11" fillId="43" borderId="12" xfId="0" applyNumberFormat="1" applyFont="1" applyFill="1" applyBorder="1" applyAlignment="1">
      <alignment horizontal="center"/>
    </xf>
    <xf numFmtId="0" fontId="11" fillId="43" borderId="12" xfId="0" applyFont="1" applyFill="1" applyBorder="1" applyAlignment="1">
      <alignment horizontal="center"/>
    </xf>
    <xf numFmtId="0" fontId="11" fillId="43" borderId="14" xfId="0" applyFont="1" applyFill="1" applyBorder="1" applyAlignment="1">
      <alignment/>
    </xf>
    <xf numFmtId="164" fontId="11" fillId="43" borderId="14" xfId="0" applyNumberFormat="1" applyFont="1" applyFill="1" applyBorder="1" applyAlignment="1">
      <alignment/>
    </xf>
    <xf numFmtId="2" fontId="11" fillId="43" borderId="12" xfId="0" applyNumberFormat="1" applyFont="1" applyFill="1" applyBorder="1" applyAlignment="1">
      <alignment horizontal="center"/>
    </xf>
    <xf numFmtId="49" fontId="11" fillId="43" borderId="12" xfId="0" applyNumberFormat="1" applyFont="1" applyFill="1" applyBorder="1" applyAlignment="1">
      <alignment horizontal="center"/>
    </xf>
    <xf numFmtId="0" fontId="10" fillId="41" borderId="12" xfId="0" applyFont="1" applyFill="1" applyBorder="1" applyAlignment="1">
      <alignment horizontal="left"/>
    </xf>
    <xf numFmtId="2" fontId="9" fillId="41" borderId="12" xfId="0" applyNumberFormat="1" applyFont="1" applyFill="1" applyBorder="1" applyAlignment="1">
      <alignment/>
    </xf>
    <xf numFmtId="1" fontId="9" fillId="41" borderId="12" xfId="0" applyNumberFormat="1" applyFont="1" applyFill="1" applyBorder="1" applyAlignment="1">
      <alignment/>
    </xf>
    <xf numFmtId="0" fontId="11" fillId="44" borderId="12" xfId="0" applyFont="1" applyFill="1" applyBorder="1" applyAlignment="1">
      <alignment horizontal="center"/>
    </xf>
    <xf numFmtId="0" fontId="11" fillId="44" borderId="12" xfId="0" applyFont="1" applyFill="1" applyBorder="1" applyAlignment="1">
      <alignment horizontal="left"/>
    </xf>
    <xf numFmtId="2" fontId="11" fillId="44" borderId="12" xfId="0" applyNumberFormat="1" applyFont="1" applyFill="1" applyBorder="1" applyAlignment="1">
      <alignment/>
    </xf>
    <xf numFmtId="0" fontId="11" fillId="44" borderId="12" xfId="0" applyFont="1" applyFill="1" applyBorder="1" applyAlignment="1">
      <alignment/>
    </xf>
    <xf numFmtId="164" fontId="11" fillId="44" borderId="12" xfId="0" applyNumberFormat="1" applyFont="1" applyFill="1" applyBorder="1" applyAlignment="1">
      <alignment/>
    </xf>
    <xf numFmtId="0" fontId="11" fillId="45" borderId="12" xfId="0" applyFont="1" applyFill="1" applyBorder="1" applyAlignment="1">
      <alignment horizontal="center"/>
    </xf>
    <xf numFmtId="0" fontId="11" fillId="45" borderId="12" xfId="0" applyFont="1" applyFill="1" applyBorder="1" applyAlignment="1">
      <alignment horizontal="left"/>
    </xf>
    <xf numFmtId="164" fontId="11" fillId="45" borderId="12" xfId="0" applyNumberFormat="1" applyFont="1" applyFill="1" applyBorder="1" applyAlignment="1">
      <alignment/>
    </xf>
    <xf numFmtId="0" fontId="11" fillId="45" borderId="12" xfId="0" applyFont="1" applyFill="1" applyBorder="1" applyAlignment="1">
      <alignment/>
    </xf>
    <xf numFmtId="2" fontId="11" fillId="45" borderId="12" xfId="0" applyNumberFormat="1" applyFont="1" applyFill="1" applyBorder="1" applyAlignment="1">
      <alignment/>
    </xf>
    <xf numFmtId="0" fontId="11" fillId="46" borderId="12" xfId="0" applyFont="1" applyFill="1" applyBorder="1" applyAlignment="1">
      <alignment horizontal="center"/>
    </xf>
    <xf numFmtId="0" fontId="11" fillId="46" borderId="12" xfId="0" applyFont="1" applyFill="1" applyBorder="1" applyAlignment="1">
      <alignment horizontal="left"/>
    </xf>
    <xf numFmtId="164" fontId="11" fillId="46" borderId="12" xfId="0" applyNumberFormat="1" applyFont="1" applyFill="1" applyBorder="1" applyAlignment="1">
      <alignment/>
    </xf>
    <xf numFmtId="0" fontId="11" fillId="46" borderId="12" xfId="0" applyFont="1" applyFill="1" applyBorder="1" applyAlignment="1">
      <alignment/>
    </xf>
    <xf numFmtId="2" fontId="11" fillId="46" borderId="12" xfId="0" applyNumberFormat="1" applyFont="1" applyFill="1" applyBorder="1" applyAlignment="1">
      <alignment/>
    </xf>
    <xf numFmtId="0" fontId="11" fillId="47" borderId="12" xfId="0" applyFont="1" applyFill="1" applyBorder="1" applyAlignment="1">
      <alignment horizontal="center"/>
    </xf>
    <xf numFmtId="0" fontId="11" fillId="47" borderId="12" xfId="0" applyFont="1" applyFill="1" applyBorder="1" applyAlignment="1">
      <alignment horizontal="left"/>
    </xf>
    <xf numFmtId="164" fontId="11" fillId="47" borderId="12" xfId="0" applyNumberFormat="1" applyFont="1" applyFill="1" applyBorder="1" applyAlignment="1">
      <alignment/>
    </xf>
    <xf numFmtId="0" fontId="11" fillId="47" borderId="12" xfId="0" applyFont="1" applyFill="1" applyBorder="1" applyAlignment="1">
      <alignment/>
    </xf>
    <xf numFmtId="0" fontId="11" fillId="39" borderId="14" xfId="0" applyFont="1" applyFill="1" applyBorder="1" applyAlignment="1">
      <alignment horizontal="center"/>
    </xf>
    <xf numFmtId="0" fontId="11" fillId="39" borderId="14" xfId="0" applyFont="1" applyFill="1" applyBorder="1" applyAlignment="1">
      <alignment horizontal="left"/>
    </xf>
    <xf numFmtId="164" fontId="11" fillId="39" borderId="14" xfId="0" applyNumberFormat="1" applyFont="1" applyFill="1" applyBorder="1" applyAlignment="1">
      <alignment/>
    </xf>
    <xf numFmtId="0" fontId="11" fillId="39" borderId="14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/>
    </xf>
    <xf numFmtId="0" fontId="11" fillId="48" borderId="12" xfId="0" applyFont="1" applyFill="1" applyBorder="1" applyAlignment="1">
      <alignment horizontal="center"/>
    </xf>
    <xf numFmtId="0" fontId="11" fillId="48" borderId="12" xfId="0" applyFont="1" applyFill="1" applyBorder="1" applyAlignment="1">
      <alignment horizontal="left"/>
    </xf>
    <xf numFmtId="164" fontId="11" fillId="48" borderId="12" xfId="0" applyNumberFormat="1" applyFont="1" applyFill="1" applyBorder="1" applyAlignment="1">
      <alignment/>
    </xf>
    <xf numFmtId="0" fontId="11" fillId="48" borderId="12" xfId="0" applyFont="1" applyFill="1" applyBorder="1" applyAlignment="1">
      <alignment/>
    </xf>
    <xf numFmtId="2" fontId="11" fillId="48" borderId="12" xfId="0" applyNumberFormat="1" applyFont="1" applyFill="1" applyBorder="1" applyAlignment="1">
      <alignment/>
    </xf>
    <xf numFmtId="2" fontId="11" fillId="42" borderId="12" xfId="0" applyNumberFormat="1" applyFont="1" applyFill="1" applyBorder="1" applyAlignment="1">
      <alignment/>
    </xf>
    <xf numFmtId="2" fontId="11" fillId="47" borderId="12" xfId="0" applyNumberFormat="1" applyFont="1" applyFill="1" applyBorder="1" applyAlignment="1">
      <alignment/>
    </xf>
    <xf numFmtId="0" fontId="10" fillId="41" borderId="12" xfId="0" applyFont="1" applyFill="1" applyBorder="1" applyAlignment="1">
      <alignment horizontal="center"/>
    </xf>
    <xf numFmtId="0" fontId="11" fillId="41" borderId="12" xfId="0" applyFont="1" applyFill="1" applyBorder="1" applyAlignment="1">
      <alignment horizontal="left"/>
    </xf>
    <xf numFmtId="2" fontId="10" fillId="41" borderId="12" xfId="0" applyNumberFormat="1" applyFont="1" applyFill="1" applyBorder="1" applyAlignment="1">
      <alignment horizontal="center"/>
    </xf>
    <xf numFmtId="1" fontId="10" fillId="41" borderId="12" xfId="0" applyNumberFormat="1" applyFont="1" applyFill="1" applyBorder="1" applyAlignment="1">
      <alignment horizontal="center"/>
    </xf>
    <xf numFmtId="168" fontId="10" fillId="0" borderId="12" xfId="0" applyNumberFormat="1" applyFont="1" applyFill="1" applyBorder="1" applyAlignment="1">
      <alignment horizontal="center"/>
    </xf>
    <xf numFmtId="0" fontId="9" fillId="41" borderId="12" xfId="0" applyFont="1" applyFill="1" applyBorder="1" applyAlignment="1">
      <alignment/>
    </xf>
    <xf numFmtId="0" fontId="0" fillId="36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/>
    </xf>
    <xf numFmtId="169" fontId="0" fillId="36" borderId="12" xfId="0" applyNumberFormat="1" applyFont="1" applyFill="1" applyBorder="1" applyAlignment="1">
      <alignment/>
    </xf>
    <xf numFmtId="168" fontId="0" fillId="36" borderId="12" xfId="0" applyNumberFormat="1" applyFont="1" applyFill="1" applyBorder="1" applyAlignment="1">
      <alignment/>
    </xf>
    <xf numFmtId="0" fontId="11" fillId="36" borderId="14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center"/>
    </xf>
    <xf numFmtId="0" fontId="11" fillId="36" borderId="14" xfId="0" applyFont="1" applyFill="1" applyBorder="1" applyAlignment="1">
      <alignment/>
    </xf>
    <xf numFmtId="0" fontId="11" fillId="34" borderId="12" xfId="0" applyNumberFormat="1" applyFont="1" applyFill="1" applyBorder="1" applyAlignment="1">
      <alignment/>
    </xf>
    <xf numFmtId="0" fontId="10" fillId="36" borderId="12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11" fillId="44" borderId="0" xfId="0" applyFont="1" applyFill="1" applyBorder="1" applyAlignment="1">
      <alignment horizontal="center"/>
    </xf>
    <xf numFmtId="0" fontId="0" fillId="41" borderId="12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/>
    </xf>
    <xf numFmtId="1" fontId="9" fillId="36" borderId="12" xfId="0" applyNumberFormat="1" applyFont="1" applyFill="1" applyBorder="1" applyAlignment="1">
      <alignment horizontal="center"/>
    </xf>
    <xf numFmtId="0" fontId="9" fillId="36" borderId="12" xfId="0" applyFont="1" applyFill="1" applyBorder="1" applyAlignment="1">
      <alignment/>
    </xf>
    <xf numFmtId="168" fontId="9" fillId="36" borderId="12" xfId="0" applyNumberFormat="1" applyFont="1" applyFill="1" applyBorder="1" applyAlignment="1">
      <alignment/>
    </xf>
    <xf numFmtId="1" fontId="9" fillId="36" borderId="12" xfId="0" applyNumberFormat="1" applyFont="1" applyFill="1" applyBorder="1" applyAlignment="1">
      <alignment/>
    </xf>
    <xf numFmtId="2" fontId="9" fillId="36" borderId="12" xfId="0" applyNumberFormat="1" applyFont="1" applyFill="1" applyBorder="1" applyAlignment="1">
      <alignment/>
    </xf>
    <xf numFmtId="164" fontId="12" fillId="36" borderId="12" xfId="0" applyNumberFormat="1" applyFont="1" applyFill="1" applyBorder="1" applyAlignment="1">
      <alignment/>
    </xf>
    <xf numFmtId="164" fontId="9" fillId="36" borderId="12" xfId="0" applyNumberFormat="1" applyFont="1" applyFill="1" applyBorder="1" applyAlignment="1">
      <alignment/>
    </xf>
    <xf numFmtId="167" fontId="1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justify"/>
    </xf>
    <xf numFmtId="164" fontId="7" fillId="0" borderId="12" xfId="0" applyNumberFormat="1" applyFont="1" applyFill="1" applyBorder="1" applyAlignment="1">
      <alignment horizontal="center" vertical="justify"/>
    </xf>
    <xf numFmtId="164" fontId="8" fillId="0" borderId="12" xfId="0" applyNumberFormat="1" applyFont="1" applyFill="1" applyBorder="1" applyAlignment="1">
      <alignment horizontal="center"/>
    </xf>
    <xf numFmtId="0" fontId="0" fillId="49" borderId="0" xfId="0" applyFill="1" applyAlignment="1">
      <alignment/>
    </xf>
    <xf numFmtId="2" fontId="11" fillId="43" borderId="12" xfId="0" applyNumberFormat="1" applyFont="1" applyFill="1" applyBorder="1" applyAlignment="1">
      <alignment/>
    </xf>
    <xf numFmtId="2" fontId="11" fillId="39" borderId="14" xfId="0" applyNumberFormat="1" applyFont="1" applyFill="1" applyBorder="1" applyAlignment="1">
      <alignment/>
    </xf>
    <xf numFmtId="0" fontId="9" fillId="49" borderId="0" xfId="0" applyFont="1" applyFill="1" applyAlignment="1">
      <alignment/>
    </xf>
    <xf numFmtId="2" fontId="1" fillId="36" borderId="16" xfId="53" applyNumberFormat="1" applyFont="1" applyFill="1" applyBorder="1" applyAlignment="1">
      <alignment horizontal="right"/>
      <protection/>
    </xf>
    <xf numFmtId="2" fontId="11" fillId="36" borderId="14" xfId="0" applyNumberFormat="1" applyFont="1" applyFill="1" applyBorder="1" applyAlignment="1">
      <alignment/>
    </xf>
    <xf numFmtId="170" fontId="9" fillId="41" borderId="12" xfId="0" applyNumberFormat="1" applyFont="1" applyFill="1" applyBorder="1" applyAlignment="1">
      <alignment/>
    </xf>
    <xf numFmtId="2" fontId="9" fillId="41" borderId="12" xfId="0" applyNumberFormat="1" applyFont="1" applyFill="1" applyBorder="1" applyAlignment="1">
      <alignment horizontal="center"/>
    </xf>
    <xf numFmtId="0" fontId="2" fillId="49" borderId="12" xfId="0" applyFont="1" applyFill="1" applyBorder="1" applyAlignment="1">
      <alignment/>
    </xf>
    <xf numFmtId="0" fontId="2" fillId="49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left"/>
    </xf>
    <xf numFmtId="167" fontId="8" fillId="0" borderId="15" xfId="0" applyNumberFormat="1" applyFont="1" applyFill="1" applyBorder="1" applyAlignment="1">
      <alignment horizontal="center" vertical="center" textRotation="90" wrapText="1"/>
    </xf>
    <xf numFmtId="167" fontId="3" fillId="0" borderId="12" xfId="0" applyNumberFormat="1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left"/>
    </xf>
    <xf numFmtId="1" fontId="0" fillId="0" borderId="0" xfId="0" applyNumberFormat="1" applyAlignment="1">
      <alignment/>
    </xf>
    <xf numFmtId="49" fontId="1" fillId="0" borderId="12" xfId="0" applyNumberFormat="1" applyFont="1" applyFill="1" applyBorder="1" applyAlignment="1">
      <alignment horizontal="center" vertical="justify"/>
    </xf>
    <xf numFmtId="2" fontId="1" fillId="50" borderId="12" xfId="0" applyNumberFormat="1" applyFont="1" applyFill="1" applyBorder="1" applyAlignment="1">
      <alignment horizontal="center"/>
    </xf>
    <xf numFmtId="2" fontId="1" fillId="50" borderId="12" xfId="0" applyNumberFormat="1" applyFont="1" applyFill="1" applyBorder="1" applyAlignment="1">
      <alignment horizontal="center" vertical="justify"/>
    </xf>
    <xf numFmtId="167" fontId="1" fillId="0" borderId="12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textRotation="90" wrapText="1"/>
    </xf>
    <xf numFmtId="164" fontId="16" fillId="0" borderId="12" xfId="0" applyNumberFormat="1" applyFont="1" applyFill="1" applyBorder="1" applyAlignment="1">
      <alignment horizontal="center" vertical="justify"/>
    </xf>
    <xf numFmtId="2" fontId="16" fillId="0" borderId="12" xfId="0" applyNumberFormat="1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/>
    </xf>
    <xf numFmtId="164" fontId="15" fillId="0" borderId="1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textRotation="90" wrapText="1"/>
    </xf>
    <xf numFmtId="164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64" fontId="14" fillId="0" borderId="12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0" xfId="0" applyFont="1" applyFill="1" applyAlignment="1">
      <alignment/>
    </xf>
    <xf numFmtId="164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167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16" fillId="0" borderId="0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6" fontId="3" fillId="0" borderId="24" xfId="0" applyNumberFormat="1" applyFont="1" applyFill="1" applyBorder="1" applyAlignment="1">
      <alignment horizontal="right"/>
    </xf>
    <xf numFmtId="1" fontId="3" fillId="0" borderId="24" xfId="0" applyNumberFormat="1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 textRotation="90" wrapText="1"/>
    </xf>
    <xf numFmtId="0" fontId="16" fillId="0" borderId="19" xfId="0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textRotation="90" wrapText="1"/>
    </xf>
    <xf numFmtId="2" fontId="3" fillId="0" borderId="15" xfId="0" applyNumberFormat="1" applyFont="1" applyFill="1" applyBorder="1" applyAlignment="1">
      <alignment horizontal="center" vertical="center" textRotation="90" wrapText="1"/>
    </xf>
    <xf numFmtId="164" fontId="3" fillId="0" borderId="23" xfId="0" applyNumberFormat="1" applyFont="1" applyFill="1" applyBorder="1" applyAlignment="1">
      <alignment horizontal="center" vertical="center" textRotation="90" wrapText="1"/>
    </xf>
    <xf numFmtId="167" fontId="3" fillId="0" borderId="23" xfId="0" applyNumberFormat="1" applyFont="1" applyFill="1" applyBorder="1" applyAlignment="1">
      <alignment horizontal="center" vertical="center" textRotation="90" wrapText="1"/>
    </xf>
    <xf numFmtId="2" fontId="3" fillId="0" borderId="14" xfId="0" applyNumberFormat="1" applyFont="1" applyFill="1" applyBorder="1" applyAlignment="1">
      <alignment horizontal="center" vertical="center" textRotation="90" wrapText="1"/>
    </xf>
    <xf numFmtId="167" fontId="3" fillId="0" borderId="15" xfId="0" applyNumberFormat="1" applyFont="1" applyFill="1" applyBorder="1" applyAlignment="1">
      <alignment horizontal="center" vertical="center" textRotation="90" wrapText="1"/>
    </xf>
    <xf numFmtId="1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1" fontId="3" fillId="0" borderId="16" xfId="0" applyNumberFormat="1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164" fontId="3" fillId="0" borderId="14" xfId="0" applyNumberFormat="1" applyFont="1" applyFill="1" applyBorder="1" applyAlignment="1">
      <alignment horizontal="center" vertical="center" textRotation="90" wrapText="1"/>
    </xf>
    <xf numFmtId="1" fontId="3" fillId="0" borderId="18" xfId="0" applyNumberFormat="1" applyFont="1" applyFill="1" applyBorder="1" applyAlignment="1">
      <alignment horizontal="center" vertical="center" textRotation="90" wrapText="1"/>
    </xf>
    <xf numFmtId="1" fontId="16" fillId="0" borderId="19" xfId="0" applyNumberFormat="1" applyFont="1" applyFill="1" applyBorder="1" applyAlignment="1">
      <alignment horizontal="center" vertical="center" wrapText="1"/>
    </xf>
    <xf numFmtId="1" fontId="16" fillId="0" borderId="21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/>
    </xf>
    <xf numFmtId="164" fontId="16" fillId="0" borderId="12" xfId="0" applyNumberFormat="1" applyFont="1" applyFill="1" applyBorder="1" applyAlignment="1">
      <alignment horizontal="center"/>
    </xf>
    <xf numFmtId="167" fontId="16" fillId="0" borderId="12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1" fontId="16" fillId="0" borderId="12" xfId="0" applyNumberFormat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/>
    </xf>
    <xf numFmtId="1" fontId="16" fillId="0" borderId="12" xfId="0" applyNumberFormat="1" applyFont="1" applyFill="1" applyBorder="1" applyAlignment="1">
      <alignment/>
    </xf>
    <xf numFmtId="171" fontId="16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164" fontId="35" fillId="0" borderId="12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7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49" fontId="16" fillId="0" borderId="12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left"/>
    </xf>
    <xf numFmtId="2" fontId="16" fillId="0" borderId="12" xfId="52" applyNumberFormat="1" applyFont="1" applyFill="1" applyBorder="1" applyAlignment="1">
      <alignment horizontal="center" vertical="center"/>
      <protection/>
    </xf>
    <xf numFmtId="49" fontId="16" fillId="0" borderId="12" xfId="0" applyNumberFormat="1" applyFont="1" applyFill="1" applyBorder="1" applyAlignment="1">
      <alignment/>
    </xf>
    <xf numFmtId="1" fontId="16" fillId="0" borderId="12" xfId="52" applyNumberFormat="1" applyFont="1" applyFill="1" applyBorder="1" applyAlignment="1">
      <alignment horizontal="center" vertical="center"/>
      <protection/>
    </xf>
    <xf numFmtId="49" fontId="34" fillId="0" borderId="0" xfId="0" applyNumberFormat="1" applyFont="1" applyFill="1" applyAlignment="1">
      <alignment/>
    </xf>
    <xf numFmtId="49" fontId="16" fillId="0" borderId="12" xfId="0" applyNumberFormat="1" applyFont="1" applyFill="1" applyBorder="1" applyAlignment="1">
      <alignment horizontal="center" vertical="justify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164" fontId="37" fillId="0" borderId="12" xfId="0" applyNumberFormat="1" applyFont="1" applyFill="1" applyBorder="1" applyAlignment="1">
      <alignment horizontal="center"/>
    </xf>
    <xf numFmtId="49" fontId="36" fillId="0" borderId="0" xfId="0" applyNumberFormat="1" applyFont="1" applyFill="1" applyAlignment="1">
      <alignment/>
    </xf>
    <xf numFmtId="164" fontId="16" fillId="0" borderId="12" xfId="0" applyNumberFormat="1" applyFont="1" applyFill="1" applyBorder="1" applyAlignment="1">
      <alignment horizontal="left"/>
    </xf>
    <xf numFmtId="2" fontId="38" fillId="0" borderId="12" xfId="0" applyNumberFormat="1" applyFont="1" applyFill="1" applyBorder="1" applyAlignment="1">
      <alignment horizontal="center"/>
    </xf>
    <xf numFmtId="164" fontId="38" fillId="0" borderId="12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/>
    </xf>
    <xf numFmtId="167" fontId="16" fillId="0" borderId="12" xfId="0" applyNumberFormat="1" applyFont="1" applyFill="1" applyBorder="1" applyAlignment="1">
      <alignment/>
    </xf>
    <xf numFmtId="167" fontId="16" fillId="0" borderId="15" xfId="0" applyNumberFormat="1" applyFont="1" applyFill="1" applyBorder="1" applyAlignment="1">
      <alignment horizontal="center"/>
    </xf>
    <xf numFmtId="0" fontId="37" fillId="0" borderId="12" xfId="0" applyNumberFormat="1" applyFont="1" applyFill="1" applyBorder="1" applyAlignment="1">
      <alignment horizontal="center"/>
    </xf>
    <xf numFmtId="164" fontId="37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2" fontId="16" fillId="0" borderId="12" xfId="0" applyNumberFormat="1" applyFont="1" applyFill="1" applyBorder="1" applyAlignment="1">
      <alignment/>
    </xf>
    <xf numFmtId="1" fontId="34" fillId="0" borderId="12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167" fontId="16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1" fontId="34" fillId="0" borderId="0" xfId="0" applyNumberFormat="1" applyFont="1" applyFill="1" applyAlignment="1">
      <alignment horizontal="center"/>
    </xf>
    <xf numFmtId="1" fontId="34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49" fontId="16" fillId="0" borderId="14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left"/>
    </xf>
    <xf numFmtId="164" fontId="16" fillId="0" borderId="14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167" fontId="16" fillId="0" borderId="14" xfId="0" applyNumberFormat="1" applyFont="1" applyFill="1" applyBorder="1" applyAlignment="1">
      <alignment horizontal="center"/>
    </xf>
    <xf numFmtId="2" fontId="16" fillId="0" borderId="14" xfId="52" applyNumberFormat="1" applyFont="1" applyFill="1" applyBorder="1" applyAlignment="1">
      <alignment horizontal="center" vertical="center"/>
      <protection/>
    </xf>
    <xf numFmtId="1" fontId="16" fillId="0" borderId="14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/>
    </xf>
    <xf numFmtId="1" fontId="16" fillId="0" borderId="14" xfId="52" applyNumberFormat="1" applyFont="1" applyFill="1" applyBorder="1" applyAlignment="1">
      <alignment horizontal="center" vertical="center"/>
      <protection/>
    </xf>
    <xf numFmtId="1" fontId="16" fillId="0" borderId="14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left"/>
    </xf>
    <xf numFmtId="164" fontId="16" fillId="0" borderId="11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167" fontId="16" fillId="0" borderId="11" xfId="0" applyNumberFormat="1" applyFont="1" applyFill="1" applyBorder="1" applyAlignment="1">
      <alignment horizontal="center"/>
    </xf>
    <xf numFmtId="2" fontId="16" fillId="0" borderId="11" xfId="52" applyNumberFormat="1" applyFont="1" applyFill="1" applyBorder="1" applyAlignment="1">
      <alignment horizontal="center" vertical="center"/>
      <protection/>
    </xf>
    <xf numFmtId="1" fontId="16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/>
    </xf>
    <xf numFmtId="1" fontId="16" fillId="0" borderId="11" xfId="52" applyNumberFormat="1" applyFont="1" applyFill="1" applyBorder="1" applyAlignment="1">
      <alignment horizontal="center" vertical="center"/>
      <protection/>
    </xf>
    <xf numFmtId="1" fontId="16" fillId="0" borderId="11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/>
    </xf>
    <xf numFmtId="0" fontId="16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center" vertical="center" textRotation="90" wrapText="1"/>
    </xf>
    <xf numFmtId="1" fontId="3" fillId="0" borderId="29" xfId="0" applyNumberFormat="1" applyFont="1" applyFill="1" applyBorder="1" applyAlignment="1">
      <alignment horizontal="center" vertical="center" textRotation="90" wrapText="1"/>
    </xf>
    <xf numFmtId="1" fontId="3" fillId="0" borderId="27" xfId="0" applyNumberFormat="1" applyFont="1" applyFill="1" applyBorder="1" applyAlignment="1">
      <alignment horizontal="center" vertical="center" textRotation="90" wrapText="1"/>
    </xf>
    <xf numFmtId="1" fontId="3" fillId="0" borderId="34" xfId="0" applyNumberFormat="1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wrapText="1"/>
    </xf>
    <xf numFmtId="1" fontId="16" fillId="0" borderId="36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164" fontId="3" fillId="0" borderId="39" xfId="0" applyNumberFormat="1" applyFont="1" applyFill="1" applyBorder="1" applyAlignment="1">
      <alignment horizontal="center" vertical="center" textRotation="90" wrapText="1"/>
    </xf>
    <xf numFmtId="2" fontId="3" fillId="0" borderId="40" xfId="0" applyNumberFormat="1" applyFont="1" applyFill="1" applyBorder="1" applyAlignment="1">
      <alignment horizontal="center" wrapText="1"/>
    </xf>
    <xf numFmtId="164" fontId="3" fillId="0" borderId="40" xfId="0" applyNumberFormat="1" applyFont="1" applyFill="1" applyBorder="1" applyAlignment="1">
      <alignment horizontal="center" wrapText="1"/>
    </xf>
    <xf numFmtId="167" fontId="3" fillId="0" borderId="40" xfId="0" applyNumberFormat="1" applyFont="1" applyFill="1" applyBorder="1" applyAlignment="1">
      <alignment horizontal="center" wrapText="1"/>
    </xf>
    <xf numFmtId="1" fontId="3" fillId="0" borderId="40" xfId="0" applyNumberFormat="1" applyFont="1" applyFill="1" applyBorder="1" applyAlignment="1">
      <alignment horizontal="center" wrapText="1"/>
    </xf>
    <xf numFmtId="2" fontId="3" fillId="0" borderId="39" xfId="0" applyNumberFormat="1" applyFont="1" applyFill="1" applyBorder="1" applyAlignment="1">
      <alignment horizontal="center" wrapText="1"/>
    </xf>
    <xf numFmtId="164" fontId="3" fillId="0" borderId="41" xfId="0" applyNumberFormat="1" applyFont="1" applyFill="1" applyBorder="1" applyAlignment="1">
      <alignment horizontal="center" wrapText="1"/>
    </xf>
    <xf numFmtId="164" fontId="3" fillId="0" borderId="39" xfId="0" applyNumberFormat="1" applyFont="1" applyFill="1" applyBorder="1" applyAlignment="1">
      <alignment horizontal="center" wrapText="1"/>
    </xf>
    <xf numFmtId="1" fontId="3" fillId="0" borderId="42" xfId="0" applyNumberFormat="1" applyFont="1" applyFill="1" applyBorder="1" applyAlignment="1">
      <alignment horizontal="center" wrapText="1"/>
    </xf>
    <xf numFmtId="1" fontId="16" fillId="0" borderId="39" xfId="0" applyNumberFormat="1" applyFont="1" applyFill="1" applyBorder="1" applyAlignment="1">
      <alignment horizontal="center" wrapText="1"/>
    </xf>
    <xf numFmtId="1" fontId="3" fillId="0" borderId="43" xfId="0" applyNumberFormat="1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center" textRotation="90"/>
    </xf>
    <xf numFmtId="2" fontId="16" fillId="0" borderId="0" xfId="0" applyNumberFormat="1" applyFont="1" applyFill="1" applyBorder="1" applyAlignment="1">
      <alignment horizontal="center" textRotation="90"/>
    </xf>
    <xf numFmtId="167" fontId="16" fillId="0" borderId="0" xfId="0" applyNumberFormat="1" applyFont="1" applyFill="1" applyBorder="1" applyAlignment="1">
      <alignment horizontal="center" textRotation="90"/>
    </xf>
    <xf numFmtId="1" fontId="16" fillId="0" borderId="0" xfId="0" applyNumberFormat="1" applyFont="1" applyFill="1" applyBorder="1" applyAlignment="1">
      <alignment horizontal="center" textRotation="90"/>
    </xf>
    <xf numFmtId="0" fontId="16" fillId="0" borderId="0" xfId="0" applyFont="1" applyFill="1" applyBorder="1" applyAlignment="1">
      <alignment horizontal="center" textRotation="90"/>
    </xf>
    <xf numFmtId="164" fontId="16" fillId="0" borderId="0" xfId="0" applyNumberFormat="1" applyFont="1" applyFill="1" applyBorder="1" applyAlignment="1">
      <alignment textRotation="90"/>
    </xf>
    <xf numFmtId="1" fontId="16" fillId="0" borderId="0" xfId="0" applyNumberFormat="1" applyFont="1" applyFill="1" applyBorder="1" applyAlignment="1">
      <alignment textRotation="90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164" fontId="16" fillId="0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ЭЖФ декабрь работаем" xfId="52"/>
    <cellStyle name="Обычный_Юг на 15.06.05г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6</xdr:row>
      <xdr:rowOff>0</xdr:rowOff>
    </xdr:from>
    <xdr:ext cx="104775" cy="219075"/>
    <xdr:sp fLocksText="0">
      <xdr:nvSpPr>
        <xdr:cNvPr id="1" name="Text Box 15"/>
        <xdr:cNvSpPr txBox="1">
          <a:spLocks noChangeArrowheads="1"/>
        </xdr:cNvSpPr>
      </xdr:nvSpPr>
      <xdr:spPr>
        <a:xfrm>
          <a:off x="2152650" y="1590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 fLocksText="0">
      <xdr:nvSpPr>
        <xdr:cNvPr id="2" name="Text Box 16"/>
        <xdr:cNvSpPr txBox="1">
          <a:spLocks noChangeArrowheads="1"/>
        </xdr:cNvSpPr>
      </xdr:nvSpPr>
      <xdr:spPr>
        <a:xfrm>
          <a:off x="2152650" y="2057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 fLocksText="0">
      <xdr:nvSpPr>
        <xdr:cNvPr id="3" name="Text Box 17"/>
        <xdr:cNvSpPr txBox="1">
          <a:spLocks noChangeArrowheads="1"/>
        </xdr:cNvSpPr>
      </xdr:nvSpPr>
      <xdr:spPr>
        <a:xfrm>
          <a:off x="2152650" y="2057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 fLocksText="0">
      <xdr:nvSpPr>
        <xdr:cNvPr id="4" name="Text Box 18"/>
        <xdr:cNvSpPr txBox="1">
          <a:spLocks noChangeArrowheads="1"/>
        </xdr:cNvSpPr>
      </xdr:nvSpPr>
      <xdr:spPr>
        <a:xfrm>
          <a:off x="2152650" y="1590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 fLocksText="0">
      <xdr:nvSpPr>
        <xdr:cNvPr id="5" name="Text Box 19"/>
        <xdr:cNvSpPr txBox="1">
          <a:spLocks noChangeArrowheads="1"/>
        </xdr:cNvSpPr>
      </xdr:nvSpPr>
      <xdr:spPr>
        <a:xfrm>
          <a:off x="2152650" y="1590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 fLocksText="0">
      <xdr:nvSpPr>
        <xdr:cNvPr id="6" name="Text Box 20"/>
        <xdr:cNvSpPr txBox="1">
          <a:spLocks noChangeArrowheads="1"/>
        </xdr:cNvSpPr>
      </xdr:nvSpPr>
      <xdr:spPr>
        <a:xfrm>
          <a:off x="2152650" y="1590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 fLocksText="0">
      <xdr:nvSpPr>
        <xdr:cNvPr id="7" name="Text Box 21"/>
        <xdr:cNvSpPr txBox="1">
          <a:spLocks noChangeArrowheads="1"/>
        </xdr:cNvSpPr>
      </xdr:nvSpPr>
      <xdr:spPr>
        <a:xfrm>
          <a:off x="2152650" y="1590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 fLocksText="0">
      <xdr:nvSpPr>
        <xdr:cNvPr id="8" name="Text Box 22"/>
        <xdr:cNvSpPr txBox="1">
          <a:spLocks noChangeArrowheads="1"/>
        </xdr:cNvSpPr>
      </xdr:nvSpPr>
      <xdr:spPr>
        <a:xfrm>
          <a:off x="2152650" y="1590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 fLocksText="0">
      <xdr:nvSpPr>
        <xdr:cNvPr id="9" name="Text Box 23"/>
        <xdr:cNvSpPr txBox="1">
          <a:spLocks noChangeArrowheads="1"/>
        </xdr:cNvSpPr>
      </xdr:nvSpPr>
      <xdr:spPr>
        <a:xfrm>
          <a:off x="2152650" y="2057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 fLocksText="0">
      <xdr:nvSpPr>
        <xdr:cNvPr id="10" name="Text Box 24"/>
        <xdr:cNvSpPr txBox="1">
          <a:spLocks noChangeArrowheads="1"/>
        </xdr:cNvSpPr>
      </xdr:nvSpPr>
      <xdr:spPr>
        <a:xfrm>
          <a:off x="2152650" y="2057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 fLocksText="0">
      <xdr:nvSpPr>
        <xdr:cNvPr id="11" name="Text Box 25"/>
        <xdr:cNvSpPr txBox="1">
          <a:spLocks noChangeArrowheads="1"/>
        </xdr:cNvSpPr>
      </xdr:nvSpPr>
      <xdr:spPr>
        <a:xfrm>
          <a:off x="2152650" y="1590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 fLocksText="0">
      <xdr:nvSpPr>
        <xdr:cNvPr id="12" name="Text Box 26"/>
        <xdr:cNvSpPr txBox="1">
          <a:spLocks noChangeArrowheads="1"/>
        </xdr:cNvSpPr>
      </xdr:nvSpPr>
      <xdr:spPr>
        <a:xfrm>
          <a:off x="2152650" y="1590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 fLocksText="0">
      <xdr:nvSpPr>
        <xdr:cNvPr id="13" name="Text Box 27"/>
        <xdr:cNvSpPr txBox="1">
          <a:spLocks noChangeArrowheads="1"/>
        </xdr:cNvSpPr>
      </xdr:nvSpPr>
      <xdr:spPr>
        <a:xfrm>
          <a:off x="2152650" y="1590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 fLocksText="0">
      <xdr:nvSpPr>
        <xdr:cNvPr id="14" name="Text Box 28"/>
        <xdr:cNvSpPr txBox="1">
          <a:spLocks noChangeArrowheads="1"/>
        </xdr:cNvSpPr>
      </xdr:nvSpPr>
      <xdr:spPr>
        <a:xfrm>
          <a:off x="2152650" y="1590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2152650" y="2057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2152650" y="2057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 fLocksText="0">
      <xdr:nvSpPr>
        <xdr:cNvPr id="19" name="Text Box 19"/>
        <xdr:cNvSpPr txBox="1">
          <a:spLocks noChangeArrowheads="1"/>
        </xdr:cNvSpPr>
      </xdr:nvSpPr>
      <xdr:spPr>
        <a:xfrm>
          <a:off x="2152650" y="2057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 fLocksText="0">
      <xdr:nvSpPr>
        <xdr:cNvPr id="20" name="Text Box 20"/>
        <xdr:cNvSpPr txBox="1">
          <a:spLocks noChangeArrowheads="1"/>
        </xdr:cNvSpPr>
      </xdr:nvSpPr>
      <xdr:spPr>
        <a:xfrm>
          <a:off x="2152650" y="2057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 fLocksText="0">
      <xdr:nvSpPr>
        <xdr:cNvPr id="21" name="Text Box 21"/>
        <xdr:cNvSpPr txBox="1">
          <a:spLocks noChangeArrowheads="1"/>
        </xdr:cNvSpPr>
      </xdr:nvSpPr>
      <xdr:spPr>
        <a:xfrm>
          <a:off x="2152650" y="2057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2152650" y="2057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24" name="Text Box 24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 fLocksText="0">
      <xdr:nvSpPr>
        <xdr:cNvPr id="25" name="Text Box 25"/>
        <xdr:cNvSpPr txBox="1">
          <a:spLocks noChangeArrowheads="1"/>
        </xdr:cNvSpPr>
      </xdr:nvSpPr>
      <xdr:spPr>
        <a:xfrm>
          <a:off x="2152650" y="2057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 fLocksText="0">
      <xdr:nvSpPr>
        <xdr:cNvPr id="26" name="Text Box 26"/>
        <xdr:cNvSpPr txBox="1">
          <a:spLocks noChangeArrowheads="1"/>
        </xdr:cNvSpPr>
      </xdr:nvSpPr>
      <xdr:spPr>
        <a:xfrm>
          <a:off x="2152650" y="2057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 fLocksText="0">
      <xdr:nvSpPr>
        <xdr:cNvPr id="27" name="Text Box 27"/>
        <xdr:cNvSpPr txBox="1">
          <a:spLocks noChangeArrowheads="1"/>
        </xdr:cNvSpPr>
      </xdr:nvSpPr>
      <xdr:spPr>
        <a:xfrm>
          <a:off x="2152650" y="2057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9</xdr:row>
      <xdr:rowOff>0</xdr:rowOff>
    </xdr:from>
    <xdr:ext cx="104775" cy="238125"/>
    <xdr:sp fLocksText="0">
      <xdr:nvSpPr>
        <xdr:cNvPr id="28" name="Text Box 28"/>
        <xdr:cNvSpPr txBox="1">
          <a:spLocks noChangeArrowheads="1"/>
        </xdr:cNvSpPr>
      </xdr:nvSpPr>
      <xdr:spPr>
        <a:xfrm>
          <a:off x="2152650" y="2057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29" name="Text Box 15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104775" cy="238125"/>
    <xdr:sp fLocksText="0">
      <xdr:nvSpPr>
        <xdr:cNvPr id="30" name="Text Box 16"/>
        <xdr:cNvSpPr txBox="1">
          <a:spLocks noChangeArrowheads="1"/>
        </xdr:cNvSpPr>
      </xdr:nvSpPr>
      <xdr:spPr>
        <a:xfrm>
          <a:off x="2152650" y="3028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104775" cy="238125"/>
    <xdr:sp fLocksText="0">
      <xdr:nvSpPr>
        <xdr:cNvPr id="31" name="Text Box 17"/>
        <xdr:cNvSpPr txBox="1">
          <a:spLocks noChangeArrowheads="1"/>
        </xdr:cNvSpPr>
      </xdr:nvSpPr>
      <xdr:spPr>
        <a:xfrm>
          <a:off x="2152650" y="3028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32" name="Text Box 18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33" name="Text Box 19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34" name="Text Box 20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35" name="Text Box 21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36" name="Text Box 22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104775" cy="238125"/>
    <xdr:sp fLocksText="0">
      <xdr:nvSpPr>
        <xdr:cNvPr id="37" name="Text Box 23"/>
        <xdr:cNvSpPr txBox="1">
          <a:spLocks noChangeArrowheads="1"/>
        </xdr:cNvSpPr>
      </xdr:nvSpPr>
      <xdr:spPr>
        <a:xfrm>
          <a:off x="2152650" y="3028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104775" cy="238125"/>
    <xdr:sp fLocksText="0">
      <xdr:nvSpPr>
        <xdr:cNvPr id="38" name="Text Box 24"/>
        <xdr:cNvSpPr txBox="1">
          <a:spLocks noChangeArrowheads="1"/>
        </xdr:cNvSpPr>
      </xdr:nvSpPr>
      <xdr:spPr>
        <a:xfrm>
          <a:off x="2152650" y="3028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39" name="Text Box 25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40" name="Text Box 26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41" name="Text Box 27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42" name="Text Box 28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43" name="Text Box 15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104775" cy="238125"/>
    <xdr:sp fLocksText="0">
      <xdr:nvSpPr>
        <xdr:cNvPr id="44" name="Text Box 16"/>
        <xdr:cNvSpPr txBox="1">
          <a:spLocks noChangeArrowheads="1"/>
        </xdr:cNvSpPr>
      </xdr:nvSpPr>
      <xdr:spPr>
        <a:xfrm>
          <a:off x="2152650" y="3028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104775" cy="238125"/>
    <xdr:sp fLocksText="0">
      <xdr:nvSpPr>
        <xdr:cNvPr id="45" name="Text Box 17"/>
        <xdr:cNvSpPr txBox="1">
          <a:spLocks noChangeArrowheads="1"/>
        </xdr:cNvSpPr>
      </xdr:nvSpPr>
      <xdr:spPr>
        <a:xfrm>
          <a:off x="2152650" y="3028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46" name="Text Box 18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47" name="Text Box 19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48" name="Text Box 20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49" name="Text Box 21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50" name="Text Box 22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104775" cy="238125"/>
    <xdr:sp fLocksText="0">
      <xdr:nvSpPr>
        <xdr:cNvPr id="51" name="Text Box 23"/>
        <xdr:cNvSpPr txBox="1">
          <a:spLocks noChangeArrowheads="1"/>
        </xdr:cNvSpPr>
      </xdr:nvSpPr>
      <xdr:spPr>
        <a:xfrm>
          <a:off x="2152650" y="3028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104775" cy="238125"/>
    <xdr:sp fLocksText="0">
      <xdr:nvSpPr>
        <xdr:cNvPr id="52" name="Text Box 24"/>
        <xdr:cNvSpPr txBox="1">
          <a:spLocks noChangeArrowheads="1"/>
        </xdr:cNvSpPr>
      </xdr:nvSpPr>
      <xdr:spPr>
        <a:xfrm>
          <a:off x="2152650" y="3028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53" name="Text Box 25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54" name="Text Box 26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55" name="Text Box 27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12</xdr:row>
      <xdr:rowOff>0</xdr:rowOff>
    </xdr:from>
    <xdr:ext cx="104775" cy="238125"/>
    <xdr:sp fLocksText="0">
      <xdr:nvSpPr>
        <xdr:cNvPr id="56" name="Text Box 28"/>
        <xdr:cNvSpPr txBox="1">
          <a:spLocks noChangeArrowheads="1"/>
        </xdr:cNvSpPr>
      </xdr:nvSpPr>
      <xdr:spPr>
        <a:xfrm>
          <a:off x="2152650" y="2543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0</xdr:row>
      <xdr:rowOff>0</xdr:rowOff>
    </xdr:from>
    <xdr:ext cx="104775" cy="238125"/>
    <xdr:sp fLocksText="0">
      <xdr:nvSpPr>
        <xdr:cNvPr id="1" name="Text Box 15"/>
        <xdr:cNvSpPr txBox="1">
          <a:spLocks noChangeArrowheads="1"/>
        </xdr:cNvSpPr>
      </xdr:nvSpPr>
      <xdr:spPr>
        <a:xfrm>
          <a:off x="1200150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104775" cy="238125"/>
    <xdr:sp fLocksText="0">
      <xdr:nvSpPr>
        <xdr:cNvPr id="2" name="Text Box 16"/>
        <xdr:cNvSpPr txBox="1">
          <a:spLocks noChangeArrowheads="1"/>
        </xdr:cNvSpPr>
      </xdr:nvSpPr>
      <xdr:spPr>
        <a:xfrm>
          <a:off x="1200150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104775" cy="238125"/>
    <xdr:sp fLocksText="0">
      <xdr:nvSpPr>
        <xdr:cNvPr id="3" name="Text Box 17"/>
        <xdr:cNvSpPr txBox="1">
          <a:spLocks noChangeArrowheads="1"/>
        </xdr:cNvSpPr>
      </xdr:nvSpPr>
      <xdr:spPr>
        <a:xfrm>
          <a:off x="1200150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104775" cy="238125"/>
    <xdr:sp fLocksText="0">
      <xdr:nvSpPr>
        <xdr:cNvPr id="4" name="Text Box 18"/>
        <xdr:cNvSpPr txBox="1">
          <a:spLocks noChangeArrowheads="1"/>
        </xdr:cNvSpPr>
      </xdr:nvSpPr>
      <xdr:spPr>
        <a:xfrm>
          <a:off x="1200150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104775" cy="238125"/>
    <xdr:sp fLocksText="0">
      <xdr:nvSpPr>
        <xdr:cNvPr id="5" name="Text Box 19"/>
        <xdr:cNvSpPr txBox="1">
          <a:spLocks noChangeArrowheads="1"/>
        </xdr:cNvSpPr>
      </xdr:nvSpPr>
      <xdr:spPr>
        <a:xfrm>
          <a:off x="1200150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104775" cy="238125"/>
    <xdr:sp fLocksText="0">
      <xdr:nvSpPr>
        <xdr:cNvPr id="6" name="Text Box 20"/>
        <xdr:cNvSpPr txBox="1">
          <a:spLocks noChangeArrowheads="1"/>
        </xdr:cNvSpPr>
      </xdr:nvSpPr>
      <xdr:spPr>
        <a:xfrm>
          <a:off x="1200150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104775" cy="238125"/>
    <xdr:sp fLocksText="0">
      <xdr:nvSpPr>
        <xdr:cNvPr id="7" name="Text Box 21"/>
        <xdr:cNvSpPr txBox="1">
          <a:spLocks noChangeArrowheads="1"/>
        </xdr:cNvSpPr>
      </xdr:nvSpPr>
      <xdr:spPr>
        <a:xfrm>
          <a:off x="1200150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104775" cy="238125"/>
    <xdr:sp fLocksText="0">
      <xdr:nvSpPr>
        <xdr:cNvPr id="8" name="Text Box 22"/>
        <xdr:cNvSpPr txBox="1">
          <a:spLocks noChangeArrowheads="1"/>
        </xdr:cNvSpPr>
      </xdr:nvSpPr>
      <xdr:spPr>
        <a:xfrm>
          <a:off x="1200150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104775" cy="238125"/>
    <xdr:sp fLocksText="0">
      <xdr:nvSpPr>
        <xdr:cNvPr id="9" name="Text Box 23"/>
        <xdr:cNvSpPr txBox="1">
          <a:spLocks noChangeArrowheads="1"/>
        </xdr:cNvSpPr>
      </xdr:nvSpPr>
      <xdr:spPr>
        <a:xfrm>
          <a:off x="1200150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104775" cy="238125"/>
    <xdr:sp fLocksText="0">
      <xdr:nvSpPr>
        <xdr:cNvPr id="10" name="Text Box 24"/>
        <xdr:cNvSpPr txBox="1">
          <a:spLocks noChangeArrowheads="1"/>
        </xdr:cNvSpPr>
      </xdr:nvSpPr>
      <xdr:spPr>
        <a:xfrm>
          <a:off x="1200150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104775" cy="238125"/>
    <xdr:sp fLocksText="0">
      <xdr:nvSpPr>
        <xdr:cNvPr id="11" name="Text Box 25"/>
        <xdr:cNvSpPr txBox="1">
          <a:spLocks noChangeArrowheads="1"/>
        </xdr:cNvSpPr>
      </xdr:nvSpPr>
      <xdr:spPr>
        <a:xfrm>
          <a:off x="1200150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104775" cy="238125"/>
    <xdr:sp fLocksText="0">
      <xdr:nvSpPr>
        <xdr:cNvPr id="12" name="Text Box 26"/>
        <xdr:cNvSpPr txBox="1">
          <a:spLocks noChangeArrowheads="1"/>
        </xdr:cNvSpPr>
      </xdr:nvSpPr>
      <xdr:spPr>
        <a:xfrm>
          <a:off x="1200150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104775" cy="238125"/>
    <xdr:sp fLocksText="0">
      <xdr:nvSpPr>
        <xdr:cNvPr id="13" name="Text Box 27"/>
        <xdr:cNvSpPr txBox="1">
          <a:spLocks noChangeArrowheads="1"/>
        </xdr:cNvSpPr>
      </xdr:nvSpPr>
      <xdr:spPr>
        <a:xfrm>
          <a:off x="1200150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104775" cy="238125"/>
    <xdr:sp fLocksText="0">
      <xdr:nvSpPr>
        <xdr:cNvPr id="14" name="Text Box 28"/>
        <xdr:cNvSpPr txBox="1">
          <a:spLocks noChangeArrowheads="1"/>
        </xdr:cNvSpPr>
      </xdr:nvSpPr>
      <xdr:spPr>
        <a:xfrm>
          <a:off x="1200150" y="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85725" cy="209550"/>
    <xdr:sp fLocksText="0">
      <xdr:nvSpPr>
        <xdr:cNvPr id="15" name="Text Box 1"/>
        <xdr:cNvSpPr txBox="1">
          <a:spLocks noChangeArrowheads="1"/>
        </xdr:cNvSpPr>
      </xdr:nvSpPr>
      <xdr:spPr>
        <a:xfrm>
          <a:off x="120015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85725" cy="209550"/>
    <xdr:sp fLocksText="0">
      <xdr:nvSpPr>
        <xdr:cNvPr id="16" name="Text Box 2"/>
        <xdr:cNvSpPr txBox="1">
          <a:spLocks noChangeArrowheads="1"/>
        </xdr:cNvSpPr>
      </xdr:nvSpPr>
      <xdr:spPr>
        <a:xfrm>
          <a:off x="120015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85725" cy="209550"/>
    <xdr:sp fLocksText="0">
      <xdr:nvSpPr>
        <xdr:cNvPr id="17" name="Text Box 3"/>
        <xdr:cNvSpPr txBox="1">
          <a:spLocks noChangeArrowheads="1"/>
        </xdr:cNvSpPr>
      </xdr:nvSpPr>
      <xdr:spPr>
        <a:xfrm>
          <a:off x="120015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85725" cy="209550"/>
    <xdr:sp fLocksText="0">
      <xdr:nvSpPr>
        <xdr:cNvPr id="18" name="Text Box 4"/>
        <xdr:cNvSpPr txBox="1">
          <a:spLocks noChangeArrowheads="1"/>
        </xdr:cNvSpPr>
      </xdr:nvSpPr>
      <xdr:spPr>
        <a:xfrm>
          <a:off x="120015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85725" cy="209550"/>
    <xdr:sp fLocksText="0">
      <xdr:nvSpPr>
        <xdr:cNvPr id="19" name="Text Box 5"/>
        <xdr:cNvSpPr txBox="1">
          <a:spLocks noChangeArrowheads="1"/>
        </xdr:cNvSpPr>
      </xdr:nvSpPr>
      <xdr:spPr>
        <a:xfrm>
          <a:off x="120015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85725" cy="209550"/>
    <xdr:sp fLocksText="0">
      <xdr:nvSpPr>
        <xdr:cNvPr id="20" name="Text Box 6"/>
        <xdr:cNvSpPr txBox="1">
          <a:spLocks noChangeArrowheads="1"/>
        </xdr:cNvSpPr>
      </xdr:nvSpPr>
      <xdr:spPr>
        <a:xfrm>
          <a:off x="120015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85725" cy="209550"/>
    <xdr:sp fLocksText="0">
      <xdr:nvSpPr>
        <xdr:cNvPr id="21" name="Text Box 7"/>
        <xdr:cNvSpPr txBox="1">
          <a:spLocks noChangeArrowheads="1"/>
        </xdr:cNvSpPr>
      </xdr:nvSpPr>
      <xdr:spPr>
        <a:xfrm>
          <a:off x="120015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85725" cy="209550"/>
    <xdr:sp fLocksText="0">
      <xdr:nvSpPr>
        <xdr:cNvPr id="22" name="Text Box 8"/>
        <xdr:cNvSpPr txBox="1">
          <a:spLocks noChangeArrowheads="1"/>
        </xdr:cNvSpPr>
      </xdr:nvSpPr>
      <xdr:spPr>
        <a:xfrm>
          <a:off x="120015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85725" cy="209550"/>
    <xdr:sp fLocksText="0">
      <xdr:nvSpPr>
        <xdr:cNvPr id="23" name="Text Box 9"/>
        <xdr:cNvSpPr txBox="1">
          <a:spLocks noChangeArrowheads="1"/>
        </xdr:cNvSpPr>
      </xdr:nvSpPr>
      <xdr:spPr>
        <a:xfrm>
          <a:off x="120015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85725" cy="209550"/>
    <xdr:sp fLocksText="0">
      <xdr:nvSpPr>
        <xdr:cNvPr id="24" name="Text Box 10"/>
        <xdr:cNvSpPr txBox="1">
          <a:spLocks noChangeArrowheads="1"/>
        </xdr:cNvSpPr>
      </xdr:nvSpPr>
      <xdr:spPr>
        <a:xfrm>
          <a:off x="120015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85725" cy="209550"/>
    <xdr:sp fLocksText="0">
      <xdr:nvSpPr>
        <xdr:cNvPr id="25" name="Text Box 11"/>
        <xdr:cNvSpPr txBox="1">
          <a:spLocks noChangeArrowheads="1"/>
        </xdr:cNvSpPr>
      </xdr:nvSpPr>
      <xdr:spPr>
        <a:xfrm>
          <a:off x="120015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85725" cy="209550"/>
    <xdr:sp fLocksText="0">
      <xdr:nvSpPr>
        <xdr:cNvPr id="26" name="Text Box 12"/>
        <xdr:cNvSpPr txBox="1">
          <a:spLocks noChangeArrowheads="1"/>
        </xdr:cNvSpPr>
      </xdr:nvSpPr>
      <xdr:spPr>
        <a:xfrm>
          <a:off x="120015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85725" cy="209550"/>
    <xdr:sp fLocksText="0">
      <xdr:nvSpPr>
        <xdr:cNvPr id="27" name="Text Box 13"/>
        <xdr:cNvSpPr txBox="1">
          <a:spLocks noChangeArrowheads="1"/>
        </xdr:cNvSpPr>
      </xdr:nvSpPr>
      <xdr:spPr>
        <a:xfrm>
          <a:off x="120015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0</xdr:row>
      <xdr:rowOff>0</xdr:rowOff>
    </xdr:from>
    <xdr:ext cx="85725" cy="209550"/>
    <xdr:sp fLocksText="0">
      <xdr:nvSpPr>
        <xdr:cNvPr id="28" name="Text Box 14"/>
        <xdr:cNvSpPr txBox="1">
          <a:spLocks noChangeArrowheads="1"/>
        </xdr:cNvSpPr>
      </xdr:nvSpPr>
      <xdr:spPr>
        <a:xfrm>
          <a:off x="1200150" y="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9" name="Text Box 1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30" name="Text Box 2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31" name="Text Box 3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32" name="Text Box 4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33" name="Text Box 5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34" name="Text Box 6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35" name="Text Box 7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36" name="Text Box 8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37" name="Text Box 9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38" name="Text Box 10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39" name="Text Box 11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40" name="Text Box 12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41" name="Text Box 13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42" name="Text Box 14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44" name="Text Box 2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45" name="Text Box 3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46" name="Text Box 4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47" name="Text Box 5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48" name="Text Box 6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49" name="Text Box 7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50" name="Text Box 8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51" name="Text Box 9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52" name="Text Box 10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53" name="Text Box 11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54" name="Text Box 12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55" name="Text Box 13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56" name="Text Box 14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57" name="Text Box 23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58" name="Text Box 24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59" name="Text Box 25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60" name="Text Box 26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61" name="Text Box 27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62" name="Text Box 28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63" name="Text Box 29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64" name="Text Box 30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65" name="Text Box 31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66" name="Text Box 32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67" name="Text Box 33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68" name="Text Box 34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69" name="Text Box 35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70" name="Text Box 36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71" name="Text Box 45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72" name="Text Box 46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73" name="Text Box 47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74" name="Text Box 48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75" name="Text Box 49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76" name="Text Box 50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77" name="Text Box 51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78" name="Text Box 52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79" name="Text Box 53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80" name="Text Box 54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81" name="Text Box 55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82" name="Text Box 56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83" name="Text Box 57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84" name="Text Box 58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85" name="Text Box 67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86" name="Text Box 68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87" name="Text Box 69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88" name="Text Box 70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89" name="Text Box 71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90" name="Text Box 72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91" name="Text Box 73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92" name="Text Box 74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93" name="Text Box 75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94" name="Text Box 76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95" name="Text Box 77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96" name="Text Box 78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97" name="Text Box 79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98" name="Text Box 80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99" name="Text Box 89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00" name="Text Box 90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01" name="Text Box 91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02" name="Text Box 92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03" name="Text Box 93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04" name="Text Box 94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05" name="Text Box 95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06" name="Text Box 96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07" name="Text Box 97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08" name="Text Box 98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09" name="Text Box 99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10" name="Text Box 100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11" name="Text Box 101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12" name="Text Box 102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13" name="Text Box 111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14" name="Text Box 112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15" name="Text Box 113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16" name="Text Box 114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17" name="Text Box 115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18" name="Text Box 116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19" name="Text Box 117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20" name="Text Box 118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21" name="Text Box 119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22" name="Text Box 120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23" name="Text Box 121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24" name="Text Box 122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25" name="Text Box 123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26" name="Text Box 124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27" name="Text Box 133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28" name="Text Box 134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29" name="Text Box 135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30" name="Text Box 136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31" name="Text Box 137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32" name="Text Box 138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33" name="Text Box 139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34" name="Text Box 140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35" name="Text Box 141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36" name="Text Box 142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37" name="Text Box 143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38" name="Text Box 144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39" name="Text Box 145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40" name="Text Box 146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41" name="Text Box 155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42" name="Text Box 156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43" name="Text Box 157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44" name="Text Box 158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45" name="Text Box 159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46" name="Text Box 160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47" name="Text Box 161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48" name="Text Box 162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49" name="Text Box 163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50" name="Text Box 164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51" name="Text Box 165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52" name="Text Box 166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53" name="Text Box 167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54" name="Text Box 168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55" name="Text Box 177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56" name="Text Box 178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57" name="Text Box 179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58" name="Text Box 180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59" name="Text Box 181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60" name="Text Box 182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61" name="Text Box 183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62" name="Text Box 184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63" name="Text Box 185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64" name="Text Box 186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65" name="Text Box 187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66" name="Text Box 188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67" name="Text Box 189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68" name="Text Box 190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69" name="Text Box 199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70" name="Text Box 200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71" name="Text Box 201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72" name="Text Box 202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73" name="Text Box 203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74" name="Text Box 204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75" name="Text Box 205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76" name="Text Box 206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77" name="Text Box 207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0025"/>
    <xdr:sp fLocksText="0">
      <xdr:nvSpPr>
        <xdr:cNvPr id="178" name="Text Box 208"/>
        <xdr:cNvSpPr txBox="1">
          <a:spLocks noChangeArrowheads="1"/>
        </xdr:cNvSpPr>
      </xdr:nvSpPr>
      <xdr:spPr>
        <a:xfrm>
          <a:off x="1200150" y="3800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79" name="Text Box 209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80" name="Text Box 210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81" name="Text Box 211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0025"/>
    <xdr:sp fLocksText="0">
      <xdr:nvSpPr>
        <xdr:cNvPr id="182" name="Text Box 212"/>
        <xdr:cNvSpPr txBox="1">
          <a:spLocks noChangeArrowheads="1"/>
        </xdr:cNvSpPr>
      </xdr:nvSpPr>
      <xdr:spPr>
        <a:xfrm>
          <a:off x="1200150" y="3038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183" name="Text Box 1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184" name="Text Box 2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185" name="Text Box 3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186" name="Text Box 4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187" name="Text Box 5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188" name="Text Box 6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189" name="Text Box 7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190" name="Text Box 8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191" name="Text Box 9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192" name="Text Box 10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193" name="Text Box 11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194" name="Text Box 12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195" name="Text Box 13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196" name="Text Box 14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197" name="Text Box 1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198" name="Text Box 2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199" name="Text Box 3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00" name="Text Box 4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01" name="Text Box 5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02" name="Text Box 6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03" name="Text Box 7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04" name="Text Box 8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05" name="Text Box 9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06" name="Text Box 10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07" name="Text Box 11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08" name="Text Box 12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09" name="Text Box 13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10" name="Text Box 14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11" name="Text Box 1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12" name="Text Box 2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13" name="Text Box 3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14" name="Text Box 4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15" name="Text Box 5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16" name="Text Box 6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17" name="Text Box 7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18" name="Text Box 8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19" name="Text Box 9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20" name="Text Box 10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21" name="Text Box 11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22" name="Text Box 12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23" name="Text Box 13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24" name="Text Box 14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25" name="Text Box 1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26" name="Text Box 2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27" name="Text Box 3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28" name="Text Box 4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29" name="Text Box 5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30" name="Text Box 6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31" name="Text Box 7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32" name="Text Box 8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33" name="Text Box 9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34" name="Text Box 10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35" name="Text Box 11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36" name="Text Box 12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37" name="Text Box 13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38" name="Text Box 14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39" name="Text Box 1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40" name="Text Box 2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41" name="Text Box 3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42" name="Text Box 4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43" name="Text Box 5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44" name="Text Box 6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45" name="Text Box 7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46" name="Text Box 8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47" name="Text Box 9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48" name="Text Box 10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49" name="Text Box 11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50" name="Text Box 12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51" name="Text Box 13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52" name="Text Box 14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53" name="Text Box 1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54" name="Text Box 2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55" name="Text Box 3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56" name="Text Box 4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57" name="Text Box 5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58" name="Text Box 6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59" name="Text Box 7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60" name="Text Box 8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61" name="Text Box 9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62" name="Text Box 10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63" name="Text Box 11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64" name="Text Box 12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65" name="Text Box 13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66" name="Text Box 14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67" name="Text Box 1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68" name="Text Box 2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69" name="Text Box 3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70" name="Text Box 4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71" name="Text Box 5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72" name="Text Box 6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73" name="Text Box 7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74" name="Text Box 8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75" name="Text Box 9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76" name="Text Box 10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77" name="Text Box 11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78" name="Text Box 12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79" name="Text Box 13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80" name="Text Box 14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81" name="Text Box 1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82" name="Text Box 2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83" name="Text Box 3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84" name="Text Box 4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85" name="Text Box 5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86" name="Text Box 6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87" name="Text Box 7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88" name="Text Box 8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89" name="Text Box 9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18</xdr:row>
      <xdr:rowOff>0</xdr:rowOff>
    </xdr:from>
    <xdr:ext cx="85725" cy="209550"/>
    <xdr:sp fLocksText="0">
      <xdr:nvSpPr>
        <xdr:cNvPr id="290" name="Text Box 10"/>
        <xdr:cNvSpPr txBox="1">
          <a:spLocks noChangeArrowheads="1"/>
        </xdr:cNvSpPr>
      </xdr:nvSpPr>
      <xdr:spPr>
        <a:xfrm>
          <a:off x="1200150" y="3800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91" name="Text Box 11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92" name="Text Box 12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93" name="Text Box 13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15</xdr:row>
      <xdr:rowOff>0</xdr:rowOff>
    </xdr:from>
    <xdr:ext cx="85725" cy="209550"/>
    <xdr:sp fLocksText="0">
      <xdr:nvSpPr>
        <xdr:cNvPr id="294" name="Text Box 14"/>
        <xdr:cNvSpPr txBox="1">
          <a:spLocks noChangeArrowheads="1"/>
        </xdr:cNvSpPr>
      </xdr:nvSpPr>
      <xdr:spPr>
        <a:xfrm>
          <a:off x="1200150" y="3038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40</xdr:row>
      <xdr:rowOff>0</xdr:rowOff>
    </xdr:from>
    <xdr:ext cx="857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62150" y="8143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40</xdr:row>
      <xdr:rowOff>0</xdr:rowOff>
    </xdr:from>
    <xdr:ext cx="8572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1962150" y="8143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15</xdr:row>
      <xdr:rowOff>0</xdr:rowOff>
    </xdr:from>
    <xdr:ext cx="85725" cy="190500"/>
    <xdr:sp fLocksText="0">
      <xdr:nvSpPr>
        <xdr:cNvPr id="3" name="Text Box 196"/>
        <xdr:cNvSpPr txBox="1">
          <a:spLocks noChangeArrowheads="1"/>
        </xdr:cNvSpPr>
      </xdr:nvSpPr>
      <xdr:spPr>
        <a:xfrm>
          <a:off x="1962150" y="341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15</xdr:row>
      <xdr:rowOff>0</xdr:rowOff>
    </xdr:from>
    <xdr:ext cx="85725" cy="190500"/>
    <xdr:sp fLocksText="0">
      <xdr:nvSpPr>
        <xdr:cNvPr id="4" name="Text Box 197"/>
        <xdr:cNvSpPr txBox="1">
          <a:spLocks noChangeArrowheads="1"/>
        </xdr:cNvSpPr>
      </xdr:nvSpPr>
      <xdr:spPr>
        <a:xfrm>
          <a:off x="1962150" y="341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88</xdr:row>
      <xdr:rowOff>0</xdr:rowOff>
    </xdr:from>
    <xdr:ext cx="85725" cy="190500"/>
    <xdr:sp fLocksText="0">
      <xdr:nvSpPr>
        <xdr:cNvPr id="5" name="Text Box 198"/>
        <xdr:cNvSpPr txBox="1">
          <a:spLocks noChangeArrowheads="1"/>
        </xdr:cNvSpPr>
      </xdr:nvSpPr>
      <xdr:spPr>
        <a:xfrm>
          <a:off x="1962150" y="17249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85725" cy="190500"/>
    <xdr:sp fLocksText="0">
      <xdr:nvSpPr>
        <xdr:cNvPr id="6" name="Text Box 199"/>
        <xdr:cNvSpPr txBox="1">
          <a:spLocks noChangeArrowheads="1"/>
        </xdr:cNvSpPr>
      </xdr:nvSpPr>
      <xdr:spPr>
        <a:xfrm>
          <a:off x="1962150" y="2657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85725" cy="190500"/>
    <xdr:sp fLocksText="0">
      <xdr:nvSpPr>
        <xdr:cNvPr id="7" name="Text Box 200"/>
        <xdr:cNvSpPr txBox="1">
          <a:spLocks noChangeArrowheads="1"/>
        </xdr:cNvSpPr>
      </xdr:nvSpPr>
      <xdr:spPr>
        <a:xfrm>
          <a:off x="1962150" y="2657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6</xdr:row>
      <xdr:rowOff>0</xdr:rowOff>
    </xdr:from>
    <xdr:ext cx="85725" cy="190500"/>
    <xdr:sp fLocksText="0">
      <xdr:nvSpPr>
        <xdr:cNvPr id="8" name="Text Box 203"/>
        <xdr:cNvSpPr txBox="1">
          <a:spLocks noChangeArrowheads="1"/>
        </xdr:cNvSpPr>
      </xdr:nvSpPr>
      <xdr:spPr>
        <a:xfrm>
          <a:off x="1962150" y="170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6</xdr:row>
      <xdr:rowOff>0</xdr:rowOff>
    </xdr:from>
    <xdr:ext cx="85725" cy="190500"/>
    <xdr:sp fLocksText="0">
      <xdr:nvSpPr>
        <xdr:cNvPr id="9" name="Text Box 204"/>
        <xdr:cNvSpPr txBox="1">
          <a:spLocks noChangeArrowheads="1"/>
        </xdr:cNvSpPr>
      </xdr:nvSpPr>
      <xdr:spPr>
        <a:xfrm>
          <a:off x="1962150" y="170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6</xdr:row>
      <xdr:rowOff>0</xdr:rowOff>
    </xdr:from>
    <xdr:ext cx="85725" cy="190500"/>
    <xdr:sp fLocksText="0">
      <xdr:nvSpPr>
        <xdr:cNvPr id="10" name="Text Box 225"/>
        <xdr:cNvSpPr txBox="1">
          <a:spLocks noChangeArrowheads="1"/>
        </xdr:cNvSpPr>
      </xdr:nvSpPr>
      <xdr:spPr>
        <a:xfrm>
          <a:off x="1962150" y="170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6</xdr:row>
      <xdr:rowOff>0</xdr:rowOff>
    </xdr:from>
    <xdr:ext cx="85725" cy="190500"/>
    <xdr:sp fLocksText="0">
      <xdr:nvSpPr>
        <xdr:cNvPr id="11" name="Text Box 226"/>
        <xdr:cNvSpPr txBox="1">
          <a:spLocks noChangeArrowheads="1"/>
        </xdr:cNvSpPr>
      </xdr:nvSpPr>
      <xdr:spPr>
        <a:xfrm>
          <a:off x="1962150" y="170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6</xdr:row>
      <xdr:rowOff>0</xdr:rowOff>
    </xdr:from>
    <xdr:ext cx="85725" cy="190500"/>
    <xdr:sp fLocksText="0">
      <xdr:nvSpPr>
        <xdr:cNvPr id="12" name="Text Box 227"/>
        <xdr:cNvSpPr txBox="1">
          <a:spLocks noChangeArrowheads="1"/>
        </xdr:cNvSpPr>
      </xdr:nvSpPr>
      <xdr:spPr>
        <a:xfrm>
          <a:off x="1962150" y="170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6</xdr:row>
      <xdr:rowOff>0</xdr:rowOff>
    </xdr:from>
    <xdr:ext cx="85725" cy="190500"/>
    <xdr:sp fLocksText="0">
      <xdr:nvSpPr>
        <xdr:cNvPr id="13" name="Text Box 228"/>
        <xdr:cNvSpPr txBox="1">
          <a:spLocks noChangeArrowheads="1"/>
        </xdr:cNvSpPr>
      </xdr:nvSpPr>
      <xdr:spPr>
        <a:xfrm>
          <a:off x="1962150" y="170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85725" cy="190500"/>
    <xdr:sp fLocksText="0">
      <xdr:nvSpPr>
        <xdr:cNvPr id="14" name="Text Box 231"/>
        <xdr:cNvSpPr txBox="1">
          <a:spLocks noChangeArrowheads="1"/>
        </xdr:cNvSpPr>
      </xdr:nvSpPr>
      <xdr:spPr>
        <a:xfrm>
          <a:off x="1962150" y="2657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85725" cy="190500"/>
    <xdr:sp fLocksText="0">
      <xdr:nvSpPr>
        <xdr:cNvPr id="15" name="Text Box 232"/>
        <xdr:cNvSpPr txBox="1">
          <a:spLocks noChangeArrowheads="1"/>
        </xdr:cNvSpPr>
      </xdr:nvSpPr>
      <xdr:spPr>
        <a:xfrm>
          <a:off x="1962150" y="2657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6</xdr:row>
      <xdr:rowOff>0</xdr:rowOff>
    </xdr:from>
    <xdr:ext cx="85725" cy="190500"/>
    <xdr:sp fLocksText="0">
      <xdr:nvSpPr>
        <xdr:cNvPr id="16" name="Text Box 233"/>
        <xdr:cNvSpPr txBox="1">
          <a:spLocks noChangeArrowheads="1"/>
        </xdr:cNvSpPr>
      </xdr:nvSpPr>
      <xdr:spPr>
        <a:xfrm>
          <a:off x="1962150" y="170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6</xdr:row>
      <xdr:rowOff>0</xdr:rowOff>
    </xdr:from>
    <xdr:ext cx="85725" cy="190500"/>
    <xdr:sp fLocksText="0">
      <xdr:nvSpPr>
        <xdr:cNvPr id="17" name="Text Box 234"/>
        <xdr:cNvSpPr txBox="1">
          <a:spLocks noChangeArrowheads="1"/>
        </xdr:cNvSpPr>
      </xdr:nvSpPr>
      <xdr:spPr>
        <a:xfrm>
          <a:off x="1962150" y="170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6</xdr:row>
      <xdr:rowOff>0</xdr:rowOff>
    </xdr:from>
    <xdr:ext cx="85725" cy="190500"/>
    <xdr:sp fLocksText="0">
      <xdr:nvSpPr>
        <xdr:cNvPr id="18" name="Text Box 235"/>
        <xdr:cNvSpPr txBox="1">
          <a:spLocks noChangeArrowheads="1"/>
        </xdr:cNvSpPr>
      </xdr:nvSpPr>
      <xdr:spPr>
        <a:xfrm>
          <a:off x="1962150" y="170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152400</xdr:colOff>
      <xdr:row>6</xdr:row>
      <xdr:rowOff>0</xdr:rowOff>
    </xdr:from>
    <xdr:ext cx="85725" cy="190500"/>
    <xdr:sp fLocksText="0">
      <xdr:nvSpPr>
        <xdr:cNvPr id="19" name="Text Box 236"/>
        <xdr:cNvSpPr txBox="1">
          <a:spLocks noChangeArrowheads="1"/>
        </xdr:cNvSpPr>
      </xdr:nvSpPr>
      <xdr:spPr>
        <a:xfrm>
          <a:off x="1962150" y="1704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NERALSQL\common\PEO\&#1055;&#1083;&#1072;&#1085;%20&#1080;%20&#1074;&#1099;&#1087;&#1086;&#1083;&#1085;&#1077;&#1085;&#1080;&#1077;%20%20&#1047;&#1080;&#1084;&#1072;%20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ГХ"/>
      <sheetName val="план осн."/>
      <sheetName val="план кр."/>
      <sheetName val="отчет"/>
      <sheetName val="отчет крат."/>
    </sheetNames>
    <sheetDataSet>
      <sheetData sheetId="1">
        <row r="196">
          <cell r="Q1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21"/>
  <sheetViews>
    <sheetView view="pageBreakPreview" zoomScaleSheetLayoutView="100" zoomScalePageLayoutView="0" workbookViewId="0" topLeftCell="A1">
      <pane xSplit="7" ySplit="8" topLeftCell="H3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44" sqref="A44:A46"/>
    </sheetView>
  </sheetViews>
  <sheetFormatPr defaultColWidth="9.00390625" defaultRowHeight="12.75"/>
  <cols>
    <col min="1" max="1" width="3.625" style="1" customWidth="1"/>
    <col min="2" max="2" width="22.75390625" style="1" customWidth="1"/>
    <col min="3" max="3" width="4.00390625" style="1" customWidth="1"/>
    <col min="4" max="4" width="3.125" style="1" customWidth="1"/>
    <col min="5" max="5" width="6.625" style="51" customWidth="1"/>
    <col min="6" max="6" width="6.00390625" style="51" hidden="1" customWidth="1"/>
    <col min="7" max="7" width="6.375" style="51" hidden="1" customWidth="1"/>
    <col min="8" max="8" width="6.625" style="52" customWidth="1"/>
    <col min="9" max="9" width="6.625" style="51" customWidth="1"/>
    <col min="10" max="10" width="6.625" style="52" customWidth="1"/>
    <col min="11" max="11" width="6.625" style="51" customWidth="1"/>
    <col min="12" max="15" width="6.625" style="52" customWidth="1"/>
    <col min="16" max="16" width="6.625" style="51" customWidth="1"/>
    <col min="17" max="23" width="6.625" style="53" customWidth="1"/>
    <col min="24" max="24" width="6.625" style="51" customWidth="1"/>
    <col min="25" max="25" width="6.625" style="53" customWidth="1"/>
    <col min="26" max="26" width="7.625" style="52" customWidth="1"/>
    <col min="27" max="27" width="6.625" style="51" customWidth="1"/>
    <col min="28" max="28" width="6.625" style="52" customWidth="1"/>
    <col min="29" max="29" width="6.625" style="51" customWidth="1"/>
    <col min="30" max="30" width="6.625" style="52" customWidth="1"/>
    <col min="31" max="31" width="6.625" style="51" customWidth="1"/>
    <col min="32" max="32" width="6.625" style="52" customWidth="1"/>
    <col min="33" max="33" width="6.625" style="2" customWidth="1"/>
    <col min="34" max="34" width="6.625" style="2" hidden="1" customWidth="1"/>
    <col min="35" max="36" width="6.625" style="1" customWidth="1"/>
    <col min="37" max="37" width="6.625" style="3" customWidth="1"/>
    <col min="38" max="40" width="5.75390625" style="1" customWidth="1"/>
    <col min="41" max="43" width="3.75390625" style="1" hidden="1" customWidth="1"/>
  </cols>
  <sheetData>
    <row r="1" ht="4.5" customHeight="1"/>
    <row r="2" spans="1:43" ht="12.75">
      <c r="A2" s="4"/>
      <c r="B2" s="5" t="s">
        <v>137</v>
      </c>
      <c r="C2" s="5"/>
      <c r="E2" s="40"/>
      <c r="F2" s="40"/>
      <c r="G2" s="40"/>
      <c r="J2" s="54"/>
      <c r="K2" s="40"/>
      <c r="L2" s="54"/>
      <c r="M2" s="54"/>
      <c r="N2" s="54"/>
      <c r="O2" s="54"/>
      <c r="P2" s="40"/>
      <c r="Q2" s="44"/>
      <c r="R2" s="44"/>
      <c r="S2" s="44"/>
      <c r="T2" s="44"/>
      <c r="U2" s="44"/>
      <c r="V2" s="44"/>
      <c r="W2" s="44"/>
      <c r="X2" s="40"/>
      <c r="Y2" s="44"/>
      <c r="Z2" s="54"/>
      <c r="AA2" s="40"/>
      <c r="AB2" s="54"/>
      <c r="AC2" s="40"/>
      <c r="AD2" s="54"/>
      <c r="AE2" s="40"/>
      <c r="AF2" s="54"/>
      <c r="AG2" s="6"/>
      <c r="AH2" s="6"/>
      <c r="AI2" s="4"/>
      <c r="AJ2" s="4"/>
      <c r="AK2" s="7"/>
      <c r="AL2" s="4"/>
      <c r="AM2" s="4"/>
      <c r="AN2" s="4"/>
      <c r="AO2" s="4"/>
      <c r="AP2" s="4"/>
      <c r="AQ2" s="4"/>
    </row>
    <row r="3" spans="1:43" ht="17.25" customHeight="1">
      <c r="A3" s="8"/>
      <c r="B3" s="8"/>
      <c r="C3" s="8"/>
      <c r="D3" s="8"/>
      <c r="E3" s="55"/>
      <c r="F3" s="55"/>
      <c r="G3" s="56"/>
      <c r="H3" s="57"/>
      <c r="I3" s="56"/>
      <c r="J3" s="57"/>
      <c r="K3" s="56"/>
      <c r="L3" s="57"/>
      <c r="M3" s="57"/>
      <c r="N3" s="57"/>
      <c r="O3" s="57"/>
      <c r="P3" s="56"/>
      <c r="Q3" s="58"/>
      <c r="R3" s="58"/>
      <c r="S3" s="58"/>
      <c r="T3" s="58"/>
      <c r="U3" s="58"/>
      <c r="V3" s="58"/>
      <c r="W3" s="58"/>
      <c r="X3" s="56"/>
      <c r="Y3" s="58"/>
      <c r="Z3" s="57"/>
      <c r="AA3" s="56"/>
      <c r="AB3" s="57"/>
      <c r="AC3" s="56"/>
      <c r="AD3" s="57"/>
      <c r="AE3" s="56"/>
      <c r="AF3" s="57"/>
      <c r="AG3" s="9"/>
      <c r="AH3" s="9"/>
      <c r="AI3" s="11"/>
      <c r="AJ3" s="11"/>
      <c r="AK3" s="10"/>
      <c r="AL3" s="11"/>
      <c r="AM3" s="11"/>
      <c r="AN3" s="11"/>
      <c r="AO3" s="11"/>
      <c r="AP3" s="11"/>
      <c r="AQ3" s="11"/>
    </row>
    <row r="4" spans="1:43" ht="12.75">
      <c r="A4" s="251" t="s">
        <v>0</v>
      </c>
      <c r="B4" s="253" t="s">
        <v>1</v>
      </c>
      <c r="C4" s="254"/>
      <c r="D4" s="255"/>
      <c r="E4" s="272" t="s">
        <v>2</v>
      </c>
      <c r="F4" s="273"/>
      <c r="G4" s="274"/>
      <c r="H4" s="278" t="s">
        <v>3</v>
      </c>
      <c r="I4" s="279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1"/>
      <c r="AM4" s="259" t="s">
        <v>4</v>
      </c>
      <c r="AN4" s="259" t="s">
        <v>5</v>
      </c>
      <c r="AO4" s="259" t="s">
        <v>6</v>
      </c>
      <c r="AP4" s="259" t="s">
        <v>7</v>
      </c>
      <c r="AQ4" s="259" t="s">
        <v>8</v>
      </c>
    </row>
    <row r="5" spans="1:43" ht="12.75">
      <c r="A5" s="252"/>
      <c r="B5" s="256"/>
      <c r="C5" s="257"/>
      <c r="D5" s="258"/>
      <c r="E5" s="275"/>
      <c r="F5" s="276"/>
      <c r="G5" s="277"/>
      <c r="H5" s="263" t="s">
        <v>9</v>
      </c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5" t="s">
        <v>10</v>
      </c>
      <c r="AA5" s="266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59" t="s">
        <v>97</v>
      </c>
      <c r="AM5" s="260"/>
      <c r="AN5" s="260"/>
      <c r="AO5" s="260"/>
      <c r="AP5" s="260"/>
      <c r="AQ5" s="260"/>
    </row>
    <row r="6" spans="1:43" s="74" customFormat="1" ht="65.25" customHeight="1">
      <c r="A6" s="252"/>
      <c r="B6" s="63" t="s">
        <v>11</v>
      </c>
      <c r="C6" s="63" t="s">
        <v>12</v>
      </c>
      <c r="D6" s="63" t="s">
        <v>13</v>
      </c>
      <c r="E6" s="64" t="s">
        <v>14</v>
      </c>
      <c r="F6" s="269" t="s">
        <v>15</v>
      </c>
      <c r="G6" s="269" t="s">
        <v>16</v>
      </c>
      <c r="H6" s="65" t="s">
        <v>98</v>
      </c>
      <c r="I6" s="66"/>
      <c r="J6" s="65" t="s">
        <v>17</v>
      </c>
      <c r="K6" s="66"/>
      <c r="L6" s="65" t="s">
        <v>99</v>
      </c>
      <c r="M6" s="66"/>
      <c r="N6" s="67" t="s">
        <v>18</v>
      </c>
      <c r="O6" s="238" t="s">
        <v>138</v>
      </c>
      <c r="P6" s="66"/>
      <c r="Q6" s="68" t="s">
        <v>19</v>
      </c>
      <c r="R6" s="69"/>
      <c r="S6" s="70" t="s">
        <v>86</v>
      </c>
      <c r="T6" s="68" t="s">
        <v>87</v>
      </c>
      <c r="U6" s="69"/>
      <c r="V6" s="259" t="s">
        <v>88</v>
      </c>
      <c r="W6" s="68" t="s">
        <v>139</v>
      </c>
      <c r="X6" s="66"/>
      <c r="Y6" s="70" t="s">
        <v>20</v>
      </c>
      <c r="Z6" s="65" t="s">
        <v>21</v>
      </c>
      <c r="AA6" s="66"/>
      <c r="AB6" s="65" t="s">
        <v>22</v>
      </c>
      <c r="AC6" s="66"/>
      <c r="AD6" s="65" t="s">
        <v>23</v>
      </c>
      <c r="AE6" s="66"/>
      <c r="AF6" s="65" t="s">
        <v>92</v>
      </c>
      <c r="AG6" s="66"/>
      <c r="AH6" s="71" t="s">
        <v>24</v>
      </c>
      <c r="AI6" s="70" t="s">
        <v>25</v>
      </c>
      <c r="AJ6" s="72" t="s">
        <v>26</v>
      </c>
      <c r="AK6" s="73" t="s">
        <v>27</v>
      </c>
      <c r="AL6" s="268"/>
      <c r="AM6" s="260"/>
      <c r="AN6" s="260"/>
      <c r="AO6" s="260"/>
      <c r="AP6" s="260"/>
      <c r="AQ6" s="260"/>
    </row>
    <row r="7" spans="1:43" ht="11.25" customHeight="1">
      <c r="A7" s="12"/>
      <c r="B7" s="12"/>
      <c r="C7" s="12"/>
      <c r="D7" s="12"/>
      <c r="E7" s="13"/>
      <c r="F7" s="270"/>
      <c r="G7" s="270"/>
      <c r="H7" s="14" t="s">
        <v>28</v>
      </c>
      <c r="I7" s="15" t="s">
        <v>29</v>
      </c>
      <c r="J7" s="14" t="s">
        <v>30</v>
      </c>
      <c r="K7" s="15" t="s">
        <v>29</v>
      </c>
      <c r="L7" s="14" t="s">
        <v>28</v>
      </c>
      <c r="M7" s="15" t="s">
        <v>29</v>
      </c>
      <c r="N7" s="16"/>
      <c r="O7" s="239" t="s">
        <v>28</v>
      </c>
      <c r="P7" s="15" t="s">
        <v>29</v>
      </c>
      <c r="Q7" s="14" t="s">
        <v>31</v>
      </c>
      <c r="R7" s="15" t="s">
        <v>29</v>
      </c>
      <c r="S7" s="12"/>
      <c r="T7" s="14" t="s">
        <v>31</v>
      </c>
      <c r="U7" s="15" t="s">
        <v>29</v>
      </c>
      <c r="V7" s="271"/>
      <c r="W7" s="14" t="s">
        <v>31</v>
      </c>
      <c r="X7" s="15" t="s">
        <v>29</v>
      </c>
      <c r="Y7" s="12"/>
      <c r="Z7" s="14" t="s">
        <v>30</v>
      </c>
      <c r="AA7" s="15" t="s">
        <v>29</v>
      </c>
      <c r="AB7" s="14" t="s">
        <v>30</v>
      </c>
      <c r="AC7" s="15" t="s">
        <v>29</v>
      </c>
      <c r="AD7" s="14" t="s">
        <v>30</v>
      </c>
      <c r="AE7" s="15" t="s">
        <v>29</v>
      </c>
      <c r="AF7" s="14" t="s">
        <v>30</v>
      </c>
      <c r="AG7" s="15" t="s">
        <v>29</v>
      </c>
      <c r="AH7" s="17"/>
      <c r="AI7" s="12"/>
      <c r="AJ7" s="18"/>
      <c r="AK7" s="19"/>
      <c r="AL7" s="20"/>
      <c r="AM7" s="21"/>
      <c r="AN7" s="21"/>
      <c r="AO7" s="21"/>
      <c r="AP7" s="21"/>
      <c r="AQ7" s="21"/>
    </row>
    <row r="8" spans="1:43" s="241" customFormat="1" ht="12.75">
      <c r="A8" s="22">
        <v>1</v>
      </c>
      <c r="B8" s="22">
        <v>2</v>
      </c>
      <c r="C8" s="22"/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/>
      <c r="J8" s="22">
        <v>8</v>
      </c>
      <c r="K8" s="22"/>
      <c r="L8" s="22">
        <v>9</v>
      </c>
      <c r="M8" s="22"/>
      <c r="N8" s="22">
        <v>10</v>
      </c>
      <c r="O8" s="22">
        <v>11</v>
      </c>
      <c r="P8" s="22"/>
      <c r="Q8" s="22">
        <v>12</v>
      </c>
      <c r="R8" s="22"/>
      <c r="S8" s="22">
        <v>13</v>
      </c>
      <c r="T8" s="22"/>
      <c r="U8" s="22"/>
      <c r="V8" s="22"/>
      <c r="W8" s="22">
        <v>14</v>
      </c>
      <c r="X8" s="22"/>
      <c r="Y8" s="22">
        <v>15</v>
      </c>
      <c r="Z8" s="22">
        <v>16</v>
      </c>
      <c r="AA8" s="22"/>
      <c r="AB8" s="22">
        <v>17</v>
      </c>
      <c r="AC8" s="22"/>
      <c r="AD8" s="22">
        <v>18</v>
      </c>
      <c r="AE8" s="22"/>
      <c r="AF8" s="22">
        <v>19</v>
      </c>
      <c r="AG8" s="22"/>
      <c r="AH8" s="240"/>
      <c r="AI8" s="22">
        <v>20</v>
      </c>
      <c r="AJ8" s="22">
        <v>21</v>
      </c>
      <c r="AK8" s="22">
        <v>22</v>
      </c>
      <c r="AL8" s="25">
        <v>23</v>
      </c>
      <c r="AM8" s="22">
        <v>24</v>
      </c>
      <c r="AN8" s="22">
        <v>25</v>
      </c>
      <c r="AO8" s="22">
        <v>26</v>
      </c>
      <c r="AP8" s="22">
        <v>27</v>
      </c>
      <c r="AQ8" s="22">
        <v>28</v>
      </c>
    </row>
    <row r="9" spans="1:43" ht="12.75">
      <c r="A9" s="26">
        <v>1</v>
      </c>
      <c r="B9" s="27" t="s">
        <v>44</v>
      </c>
      <c r="C9" s="26">
        <v>86</v>
      </c>
      <c r="D9" s="26"/>
      <c r="E9" s="28">
        <f aca="true" t="shared" si="0" ref="E9:E30">I9+K9+P9+X9+AA9+AC9+AE9+AG9</f>
        <v>4.83</v>
      </c>
      <c r="F9" s="28">
        <f aca="true" t="shared" si="1" ref="F9:F30">E9-G9</f>
        <v>4.83</v>
      </c>
      <c r="G9" s="28"/>
      <c r="H9" s="219"/>
      <c r="I9" s="28"/>
      <c r="J9" s="219">
        <v>0.01</v>
      </c>
      <c r="K9" s="28">
        <f>J9*483</f>
        <v>4.83</v>
      </c>
      <c r="L9" s="29"/>
      <c r="M9" s="29"/>
      <c r="N9" s="29"/>
      <c r="O9" s="219"/>
      <c r="P9" s="28"/>
      <c r="Q9" s="26"/>
      <c r="R9" s="26"/>
      <c r="S9" s="26"/>
      <c r="T9" s="26"/>
      <c r="U9" s="26"/>
      <c r="V9" s="26"/>
      <c r="W9" s="26"/>
      <c r="X9" s="28"/>
      <c r="Y9" s="26"/>
      <c r="Z9" s="29"/>
      <c r="AA9" s="28"/>
      <c r="AB9" s="29"/>
      <c r="AC9" s="28"/>
      <c r="AD9" s="29"/>
      <c r="AE9" s="28"/>
      <c r="AF9" s="29"/>
      <c r="AG9" s="31"/>
      <c r="AH9" s="31"/>
      <c r="AI9" s="34"/>
      <c r="AJ9" s="34">
        <v>6</v>
      </c>
      <c r="AK9" s="30"/>
      <c r="AL9" s="32"/>
      <c r="AM9" s="32"/>
      <c r="AN9" s="32"/>
      <c r="AO9" s="79" t="s">
        <v>45</v>
      </c>
      <c r="AP9" s="32"/>
      <c r="AQ9" s="32"/>
    </row>
    <row r="10" spans="1:43" ht="12.75">
      <c r="A10" s="26">
        <f aca="true" t="shared" si="2" ref="A10:A30">A9+1</f>
        <v>2</v>
      </c>
      <c r="B10" s="27" t="s">
        <v>44</v>
      </c>
      <c r="C10" s="26">
        <v>94</v>
      </c>
      <c r="D10" s="26"/>
      <c r="E10" s="28">
        <f t="shared" si="0"/>
        <v>0</v>
      </c>
      <c r="F10" s="28">
        <f t="shared" si="1"/>
        <v>0</v>
      </c>
      <c r="G10" s="28"/>
      <c r="H10" s="219"/>
      <c r="I10" s="28"/>
      <c r="J10" s="219"/>
      <c r="K10" s="28"/>
      <c r="L10" s="29"/>
      <c r="M10" s="29"/>
      <c r="N10" s="29"/>
      <c r="O10" s="219"/>
      <c r="P10" s="28"/>
      <c r="Q10" s="26"/>
      <c r="R10" s="26"/>
      <c r="S10" s="26"/>
      <c r="T10" s="26"/>
      <c r="U10" s="26"/>
      <c r="V10" s="26"/>
      <c r="W10" s="26"/>
      <c r="X10" s="28"/>
      <c r="Y10" s="26"/>
      <c r="Z10" s="29"/>
      <c r="AA10" s="28"/>
      <c r="AB10" s="29"/>
      <c r="AC10" s="28"/>
      <c r="AD10" s="29"/>
      <c r="AE10" s="28"/>
      <c r="AF10" s="29"/>
      <c r="AG10" s="31"/>
      <c r="AH10" s="31"/>
      <c r="AI10" s="34"/>
      <c r="AJ10" s="34">
        <v>6</v>
      </c>
      <c r="AK10" s="30"/>
      <c r="AL10" s="32"/>
      <c r="AM10" s="32"/>
      <c r="AN10" s="32"/>
      <c r="AO10" s="79" t="s">
        <v>46</v>
      </c>
      <c r="AP10" s="32"/>
      <c r="AQ10" s="32"/>
    </row>
    <row r="11" spans="1:43" ht="12.75">
      <c r="A11" s="26">
        <f t="shared" si="2"/>
        <v>3</v>
      </c>
      <c r="B11" s="27" t="s">
        <v>47</v>
      </c>
      <c r="C11" s="26">
        <v>21</v>
      </c>
      <c r="D11" s="26"/>
      <c r="E11" s="28">
        <f t="shared" si="0"/>
        <v>34.2576</v>
      </c>
      <c r="F11" s="28">
        <f t="shared" si="1"/>
        <v>34.2576</v>
      </c>
      <c r="G11" s="28"/>
      <c r="H11" s="219"/>
      <c r="I11" s="28"/>
      <c r="J11" s="219">
        <v>0.0352</v>
      </c>
      <c r="K11" s="28">
        <f>J11*483</f>
        <v>17.0016</v>
      </c>
      <c r="L11" s="29"/>
      <c r="M11" s="29"/>
      <c r="N11" s="29"/>
      <c r="O11" s="219">
        <v>0.011</v>
      </c>
      <c r="P11" s="28">
        <f>O11*1047</f>
        <v>11.517</v>
      </c>
      <c r="Q11" s="26"/>
      <c r="R11" s="26"/>
      <c r="S11" s="26">
        <v>3</v>
      </c>
      <c r="T11" s="26"/>
      <c r="U11" s="26"/>
      <c r="V11" s="26">
        <v>3</v>
      </c>
      <c r="W11" s="26"/>
      <c r="X11" s="28"/>
      <c r="Y11" s="26"/>
      <c r="Z11" s="220" t="s">
        <v>140</v>
      </c>
      <c r="AA11" s="28">
        <f>1.913*3</f>
        <v>5.739</v>
      </c>
      <c r="AB11" s="29"/>
      <c r="AC11" s="28"/>
      <c r="AD11" s="29"/>
      <c r="AE11" s="28"/>
      <c r="AF11" s="29"/>
      <c r="AG11" s="31"/>
      <c r="AH11" s="31"/>
      <c r="AI11" s="34"/>
      <c r="AJ11" s="34">
        <v>6</v>
      </c>
      <c r="AK11" s="30"/>
      <c r="AL11" s="32"/>
      <c r="AM11" s="32"/>
      <c r="AN11" s="32"/>
      <c r="AO11" s="79" t="s">
        <v>48</v>
      </c>
      <c r="AP11" s="32"/>
      <c r="AQ11" s="32"/>
    </row>
    <row r="12" spans="1:43" ht="12.75">
      <c r="A12" s="26">
        <f t="shared" si="2"/>
        <v>4</v>
      </c>
      <c r="B12" s="27" t="s">
        <v>47</v>
      </c>
      <c r="C12" s="26">
        <v>25</v>
      </c>
      <c r="D12" s="26"/>
      <c r="E12" s="28">
        <f t="shared" si="0"/>
        <v>0</v>
      </c>
      <c r="F12" s="28">
        <f t="shared" si="1"/>
        <v>0</v>
      </c>
      <c r="G12" s="28"/>
      <c r="H12" s="219"/>
      <c r="I12" s="28"/>
      <c r="J12" s="219"/>
      <c r="K12" s="28"/>
      <c r="L12" s="29"/>
      <c r="M12" s="29"/>
      <c r="N12" s="29"/>
      <c r="O12" s="219"/>
      <c r="P12" s="28"/>
      <c r="Q12" s="29"/>
      <c r="R12" s="29"/>
      <c r="S12" s="29"/>
      <c r="T12" s="29"/>
      <c r="U12" s="29"/>
      <c r="V12" s="29"/>
      <c r="W12" s="29"/>
      <c r="X12" s="28"/>
      <c r="Y12" s="29"/>
      <c r="Z12" s="220"/>
      <c r="AA12" s="28"/>
      <c r="AB12" s="29"/>
      <c r="AC12" s="28"/>
      <c r="AD12" s="29"/>
      <c r="AE12" s="28"/>
      <c r="AF12" s="29"/>
      <c r="AG12" s="31"/>
      <c r="AH12" s="31"/>
      <c r="AI12" s="29"/>
      <c r="AJ12" s="34">
        <v>6</v>
      </c>
      <c r="AK12" s="30"/>
      <c r="AL12" s="32"/>
      <c r="AM12" s="32"/>
      <c r="AN12" s="32"/>
      <c r="AO12" s="79"/>
      <c r="AP12" s="32"/>
      <c r="AQ12" s="32"/>
    </row>
    <row r="13" spans="1:43" ht="12.75">
      <c r="A13" s="26">
        <f t="shared" si="2"/>
        <v>5</v>
      </c>
      <c r="B13" s="27" t="s">
        <v>47</v>
      </c>
      <c r="C13" s="26">
        <v>27</v>
      </c>
      <c r="D13" s="26"/>
      <c r="E13" s="28">
        <f t="shared" si="0"/>
        <v>0</v>
      </c>
      <c r="F13" s="28">
        <f t="shared" si="1"/>
        <v>0</v>
      </c>
      <c r="G13" s="28"/>
      <c r="H13" s="219"/>
      <c r="I13" s="28"/>
      <c r="J13" s="219"/>
      <c r="K13" s="28"/>
      <c r="L13" s="29"/>
      <c r="M13" s="29"/>
      <c r="N13" s="29"/>
      <c r="O13" s="219"/>
      <c r="P13" s="28"/>
      <c r="Q13" s="26"/>
      <c r="R13" s="26"/>
      <c r="S13" s="26">
        <v>1</v>
      </c>
      <c r="T13" s="26"/>
      <c r="U13" s="26"/>
      <c r="V13" s="26">
        <v>1</v>
      </c>
      <c r="W13" s="26"/>
      <c r="X13" s="28"/>
      <c r="Y13" s="26"/>
      <c r="Z13" s="220"/>
      <c r="AA13" s="28"/>
      <c r="AB13" s="29"/>
      <c r="AC13" s="28"/>
      <c r="AD13" s="29"/>
      <c r="AE13" s="28"/>
      <c r="AF13" s="29"/>
      <c r="AG13" s="31"/>
      <c r="AH13" s="31"/>
      <c r="AI13" s="34"/>
      <c r="AJ13" s="34">
        <v>1</v>
      </c>
      <c r="AK13" s="30"/>
      <c r="AL13" s="32"/>
      <c r="AM13" s="32"/>
      <c r="AN13" s="32"/>
      <c r="AO13" s="79"/>
      <c r="AP13" s="32"/>
      <c r="AQ13" s="32"/>
    </row>
    <row r="14" spans="1:43" ht="12.75">
      <c r="A14" s="26">
        <f t="shared" si="2"/>
        <v>6</v>
      </c>
      <c r="B14" s="27" t="s">
        <v>47</v>
      </c>
      <c r="C14" s="26">
        <v>31</v>
      </c>
      <c r="D14" s="26"/>
      <c r="E14" s="28">
        <f t="shared" si="0"/>
        <v>54.9748</v>
      </c>
      <c r="F14" s="28">
        <f t="shared" si="1"/>
        <v>54.9748</v>
      </c>
      <c r="G14" s="28"/>
      <c r="H14" s="219"/>
      <c r="I14" s="28"/>
      <c r="J14" s="219">
        <v>0.0216</v>
      </c>
      <c r="K14" s="28">
        <f>J14*483</f>
        <v>10.4328</v>
      </c>
      <c r="L14" s="29"/>
      <c r="M14" s="29"/>
      <c r="N14" s="29"/>
      <c r="O14" s="219">
        <v>0.006</v>
      </c>
      <c r="P14" s="28">
        <f>O14*1047</f>
        <v>6.282</v>
      </c>
      <c r="Q14" s="26"/>
      <c r="R14" s="26"/>
      <c r="S14" s="26">
        <v>2</v>
      </c>
      <c r="T14" s="26"/>
      <c r="U14" s="26"/>
      <c r="V14" s="26">
        <v>2</v>
      </c>
      <c r="W14" s="26"/>
      <c r="X14" s="28"/>
      <c r="Y14" s="26"/>
      <c r="Z14" s="220" t="s">
        <v>141</v>
      </c>
      <c r="AA14" s="28">
        <f>1.913*20</f>
        <v>38.26</v>
      </c>
      <c r="AB14" s="29"/>
      <c r="AC14" s="28"/>
      <c r="AD14" s="29"/>
      <c r="AE14" s="28"/>
      <c r="AF14" s="29"/>
      <c r="AG14" s="31"/>
      <c r="AH14" s="31"/>
      <c r="AI14" s="34"/>
      <c r="AJ14" s="34">
        <v>1</v>
      </c>
      <c r="AK14" s="30"/>
      <c r="AL14" s="32"/>
      <c r="AM14" s="32"/>
      <c r="AN14" s="32"/>
      <c r="AO14" s="79"/>
      <c r="AP14" s="32"/>
      <c r="AQ14" s="32"/>
    </row>
    <row r="15" spans="1:43" ht="12.75">
      <c r="A15" s="26">
        <f t="shared" si="2"/>
        <v>7</v>
      </c>
      <c r="B15" s="27" t="s">
        <v>47</v>
      </c>
      <c r="C15" s="26">
        <v>35</v>
      </c>
      <c r="D15" s="26"/>
      <c r="E15" s="28">
        <f t="shared" si="0"/>
        <v>38.26</v>
      </c>
      <c r="F15" s="28">
        <f t="shared" si="1"/>
        <v>38.26</v>
      </c>
      <c r="G15" s="28"/>
      <c r="H15" s="219"/>
      <c r="I15" s="28"/>
      <c r="J15" s="219"/>
      <c r="K15" s="28"/>
      <c r="L15" s="29"/>
      <c r="M15" s="29"/>
      <c r="N15" s="29"/>
      <c r="O15" s="219"/>
      <c r="P15" s="28"/>
      <c r="Q15" s="26"/>
      <c r="R15" s="26"/>
      <c r="S15" s="26">
        <v>2</v>
      </c>
      <c r="T15" s="26"/>
      <c r="U15" s="26"/>
      <c r="V15" s="26">
        <v>3</v>
      </c>
      <c r="W15" s="26"/>
      <c r="X15" s="28"/>
      <c r="Y15" s="26"/>
      <c r="Z15" s="220" t="s">
        <v>141</v>
      </c>
      <c r="AA15" s="28">
        <f>1.913*20</f>
        <v>38.26</v>
      </c>
      <c r="AB15" s="29"/>
      <c r="AC15" s="28"/>
      <c r="AD15" s="29"/>
      <c r="AE15" s="28"/>
      <c r="AF15" s="29"/>
      <c r="AG15" s="31"/>
      <c r="AH15" s="31"/>
      <c r="AI15" s="34"/>
      <c r="AJ15" s="34">
        <v>1</v>
      </c>
      <c r="AK15" s="30"/>
      <c r="AL15" s="32"/>
      <c r="AM15" s="32"/>
      <c r="AN15" s="32"/>
      <c r="AO15" s="79"/>
      <c r="AP15" s="32"/>
      <c r="AQ15" s="32"/>
    </row>
    <row r="16" spans="1:43" ht="12.75">
      <c r="A16" s="26">
        <f t="shared" si="2"/>
        <v>8</v>
      </c>
      <c r="B16" s="27" t="s">
        <v>47</v>
      </c>
      <c r="C16" s="26">
        <v>39</v>
      </c>
      <c r="D16" s="26"/>
      <c r="E16" s="28">
        <f t="shared" si="0"/>
        <v>0</v>
      </c>
      <c r="F16" s="28">
        <f t="shared" si="1"/>
        <v>0</v>
      </c>
      <c r="G16" s="28"/>
      <c r="H16" s="219"/>
      <c r="I16" s="28"/>
      <c r="J16" s="219"/>
      <c r="K16" s="28"/>
      <c r="L16" s="29"/>
      <c r="M16" s="29"/>
      <c r="N16" s="29"/>
      <c r="O16" s="219"/>
      <c r="P16" s="28"/>
      <c r="Q16" s="26"/>
      <c r="R16" s="26"/>
      <c r="S16" s="26">
        <v>1</v>
      </c>
      <c r="T16" s="26"/>
      <c r="U16" s="26"/>
      <c r="V16" s="26"/>
      <c r="W16" s="26"/>
      <c r="X16" s="28"/>
      <c r="Y16" s="26"/>
      <c r="Z16" s="220"/>
      <c r="AA16" s="28"/>
      <c r="AB16" s="29"/>
      <c r="AC16" s="28"/>
      <c r="AD16" s="29"/>
      <c r="AE16" s="28"/>
      <c r="AF16" s="29"/>
      <c r="AG16" s="31"/>
      <c r="AH16" s="31"/>
      <c r="AI16" s="34"/>
      <c r="AJ16" s="34">
        <v>1</v>
      </c>
      <c r="AK16" s="30"/>
      <c r="AL16" s="32"/>
      <c r="AM16" s="32"/>
      <c r="AN16" s="32"/>
      <c r="AO16" s="79"/>
      <c r="AP16" s="32"/>
      <c r="AQ16" s="32"/>
    </row>
    <row r="17" spans="1:43" ht="12.75">
      <c r="A17" s="26">
        <f t="shared" si="2"/>
        <v>9</v>
      </c>
      <c r="B17" s="27" t="s">
        <v>47</v>
      </c>
      <c r="C17" s="26">
        <v>41</v>
      </c>
      <c r="D17" s="26"/>
      <c r="E17" s="28">
        <f t="shared" si="0"/>
        <v>11.500399999999999</v>
      </c>
      <c r="F17" s="28">
        <f t="shared" si="1"/>
        <v>11.500399999999999</v>
      </c>
      <c r="G17" s="28"/>
      <c r="H17" s="219">
        <v>0.005</v>
      </c>
      <c r="I17" s="28">
        <f>H17*1450</f>
        <v>7.25</v>
      </c>
      <c r="J17" s="219">
        <v>0.0088</v>
      </c>
      <c r="K17" s="28">
        <f aca="true" t="shared" si="3" ref="K17:K25">J17*483</f>
        <v>4.2504</v>
      </c>
      <c r="L17" s="29"/>
      <c r="M17" s="29"/>
      <c r="N17" s="29"/>
      <c r="O17" s="219"/>
      <c r="P17" s="28"/>
      <c r="Q17" s="26"/>
      <c r="R17" s="26"/>
      <c r="S17" s="26">
        <v>3</v>
      </c>
      <c r="T17" s="26"/>
      <c r="U17" s="26"/>
      <c r="V17" s="26">
        <v>2</v>
      </c>
      <c r="W17" s="26"/>
      <c r="X17" s="28"/>
      <c r="Y17" s="26"/>
      <c r="Z17" s="220"/>
      <c r="AA17" s="28"/>
      <c r="AB17" s="29"/>
      <c r="AC17" s="28"/>
      <c r="AD17" s="29"/>
      <c r="AE17" s="28"/>
      <c r="AF17" s="29"/>
      <c r="AG17" s="31"/>
      <c r="AH17" s="31"/>
      <c r="AI17" s="34"/>
      <c r="AJ17" s="34">
        <v>1</v>
      </c>
      <c r="AK17" s="30"/>
      <c r="AL17" s="32"/>
      <c r="AM17" s="32"/>
      <c r="AN17" s="32"/>
      <c r="AO17" s="79"/>
      <c r="AP17" s="32"/>
      <c r="AQ17" s="32"/>
    </row>
    <row r="18" spans="1:43" ht="12.75">
      <c r="A18" s="26">
        <f t="shared" si="2"/>
        <v>10</v>
      </c>
      <c r="B18" s="27" t="s">
        <v>47</v>
      </c>
      <c r="C18" s="26">
        <v>43</v>
      </c>
      <c r="D18" s="26"/>
      <c r="E18" s="28">
        <f t="shared" si="0"/>
        <v>7.731000000000001</v>
      </c>
      <c r="F18" s="28">
        <f t="shared" si="1"/>
        <v>7.731000000000001</v>
      </c>
      <c r="G18" s="28"/>
      <c r="H18" s="219">
        <v>0.003</v>
      </c>
      <c r="I18" s="28">
        <f>H18*1450</f>
        <v>4.3500000000000005</v>
      </c>
      <c r="J18" s="219">
        <v>0.007</v>
      </c>
      <c r="K18" s="28">
        <f t="shared" si="3"/>
        <v>3.3810000000000002</v>
      </c>
      <c r="L18" s="29"/>
      <c r="M18" s="29"/>
      <c r="N18" s="29"/>
      <c r="O18" s="219"/>
      <c r="P18" s="28"/>
      <c r="Q18" s="26"/>
      <c r="R18" s="26"/>
      <c r="S18" s="26">
        <v>3</v>
      </c>
      <c r="T18" s="26"/>
      <c r="U18" s="26"/>
      <c r="V18" s="26">
        <v>2</v>
      </c>
      <c r="W18" s="26"/>
      <c r="X18" s="28"/>
      <c r="Y18" s="26"/>
      <c r="Z18" s="220"/>
      <c r="AA18" s="28"/>
      <c r="AB18" s="29"/>
      <c r="AC18" s="28"/>
      <c r="AD18" s="29"/>
      <c r="AE18" s="28"/>
      <c r="AF18" s="29"/>
      <c r="AG18" s="31"/>
      <c r="AH18" s="31"/>
      <c r="AI18" s="34"/>
      <c r="AJ18" s="34">
        <v>4</v>
      </c>
      <c r="AK18" s="30"/>
      <c r="AL18" s="32"/>
      <c r="AM18" s="32"/>
      <c r="AN18" s="32"/>
      <c r="AO18" s="79"/>
      <c r="AP18" s="32"/>
      <c r="AQ18" s="32"/>
    </row>
    <row r="19" spans="1:43" ht="12.75">
      <c r="A19" s="26">
        <f t="shared" si="2"/>
        <v>11</v>
      </c>
      <c r="B19" s="27" t="s">
        <v>47</v>
      </c>
      <c r="C19" s="26">
        <v>45</v>
      </c>
      <c r="D19" s="26"/>
      <c r="E19" s="28">
        <f t="shared" si="0"/>
        <v>0</v>
      </c>
      <c r="F19" s="28">
        <f t="shared" si="1"/>
        <v>0</v>
      </c>
      <c r="G19" s="28"/>
      <c r="H19" s="219"/>
      <c r="I19" s="28"/>
      <c r="J19" s="219"/>
      <c r="K19" s="28">
        <f t="shared" si="3"/>
        <v>0</v>
      </c>
      <c r="L19" s="29"/>
      <c r="M19" s="29"/>
      <c r="N19" s="29"/>
      <c r="O19" s="219"/>
      <c r="P19" s="28"/>
      <c r="Q19" s="26"/>
      <c r="R19" s="26"/>
      <c r="S19" s="26">
        <v>2</v>
      </c>
      <c r="T19" s="26"/>
      <c r="U19" s="26"/>
      <c r="V19" s="26"/>
      <c r="W19" s="26"/>
      <c r="X19" s="28"/>
      <c r="Y19" s="26"/>
      <c r="Z19" s="220"/>
      <c r="AA19" s="28"/>
      <c r="AB19" s="29"/>
      <c r="AC19" s="28"/>
      <c r="AD19" s="29"/>
      <c r="AE19" s="28"/>
      <c r="AF19" s="29"/>
      <c r="AG19" s="31"/>
      <c r="AH19" s="31"/>
      <c r="AI19" s="34"/>
      <c r="AJ19" s="34">
        <v>4</v>
      </c>
      <c r="AK19" s="30"/>
      <c r="AL19" s="32"/>
      <c r="AM19" s="32"/>
      <c r="AN19" s="32"/>
      <c r="AO19" s="79"/>
      <c r="AP19" s="32"/>
      <c r="AQ19" s="32"/>
    </row>
    <row r="20" spans="1:43" ht="12.75">
      <c r="A20" s="26">
        <f t="shared" si="2"/>
        <v>12</v>
      </c>
      <c r="B20" s="27" t="s">
        <v>47</v>
      </c>
      <c r="C20" s="26">
        <v>51</v>
      </c>
      <c r="D20" s="26"/>
      <c r="E20" s="28">
        <f t="shared" si="0"/>
        <v>4.2504</v>
      </c>
      <c r="F20" s="28">
        <f t="shared" si="1"/>
        <v>4.2504</v>
      </c>
      <c r="G20" s="28"/>
      <c r="H20" s="219"/>
      <c r="I20" s="28"/>
      <c r="J20" s="219">
        <v>0.0088</v>
      </c>
      <c r="K20" s="28">
        <f t="shared" si="3"/>
        <v>4.2504</v>
      </c>
      <c r="L20" s="29"/>
      <c r="M20" s="29"/>
      <c r="N20" s="29"/>
      <c r="O20" s="219"/>
      <c r="P20" s="28"/>
      <c r="Q20" s="26"/>
      <c r="R20" s="26"/>
      <c r="S20" s="26">
        <v>2</v>
      </c>
      <c r="T20" s="26"/>
      <c r="U20" s="26"/>
      <c r="V20" s="26">
        <v>1.5</v>
      </c>
      <c r="W20" s="26"/>
      <c r="X20" s="28"/>
      <c r="Y20" s="26"/>
      <c r="Z20" s="220"/>
      <c r="AA20" s="28"/>
      <c r="AB20" s="29"/>
      <c r="AC20" s="28"/>
      <c r="AD20" s="29"/>
      <c r="AE20" s="28"/>
      <c r="AF20" s="29"/>
      <c r="AG20" s="31"/>
      <c r="AH20" s="31"/>
      <c r="AI20" s="34"/>
      <c r="AJ20" s="34">
        <v>3</v>
      </c>
      <c r="AK20" s="30"/>
      <c r="AL20" s="32"/>
      <c r="AM20" s="32"/>
      <c r="AN20" s="32"/>
      <c r="AO20" s="79"/>
      <c r="AP20" s="32"/>
      <c r="AQ20" s="32"/>
    </row>
    <row r="21" spans="1:43" ht="12.75">
      <c r="A21" s="26">
        <f t="shared" si="2"/>
        <v>13</v>
      </c>
      <c r="B21" s="27" t="s">
        <v>49</v>
      </c>
      <c r="C21" s="26">
        <v>53</v>
      </c>
      <c r="D21" s="26"/>
      <c r="E21" s="28">
        <f t="shared" si="0"/>
        <v>2.898</v>
      </c>
      <c r="F21" s="28">
        <f t="shared" si="1"/>
        <v>2.898</v>
      </c>
      <c r="G21" s="28"/>
      <c r="H21" s="219"/>
      <c r="I21" s="28"/>
      <c r="J21" s="219">
        <v>0.006</v>
      </c>
      <c r="K21" s="28">
        <f t="shared" si="3"/>
        <v>2.898</v>
      </c>
      <c r="L21" s="29"/>
      <c r="M21" s="29"/>
      <c r="N21" s="29"/>
      <c r="O21" s="219"/>
      <c r="P21" s="28"/>
      <c r="Q21" s="26"/>
      <c r="R21" s="26"/>
      <c r="S21" s="26">
        <v>2</v>
      </c>
      <c r="T21" s="26"/>
      <c r="U21" s="26"/>
      <c r="V21" s="26">
        <v>2</v>
      </c>
      <c r="W21" s="26"/>
      <c r="X21" s="28"/>
      <c r="Y21" s="26"/>
      <c r="Z21" s="220"/>
      <c r="AA21" s="28"/>
      <c r="AB21" s="29"/>
      <c r="AC21" s="28"/>
      <c r="AD21" s="29"/>
      <c r="AE21" s="28"/>
      <c r="AF21" s="29"/>
      <c r="AG21" s="31"/>
      <c r="AH21" s="31"/>
      <c r="AI21" s="34"/>
      <c r="AJ21" s="34">
        <v>6</v>
      </c>
      <c r="AK21" s="30"/>
      <c r="AL21" s="32"/>
      <c r="AM21" s="32"/>
      <c r="AN21" s="32"/>
      <c r="AO21" s="79"/>
      <c r="AP21" s="32"/>
      <c r="AQ21" s="32"/>
    </row>
    <row r="22" spans="1:43" ht="12.75">
      <c r="A22" s="26">
        <f t="shared" si="2"/>
        <v>14</v>
      </c>
      <c r="B22" s="27" t="s">
        <v>50</v>
      </c>
      <c r="C22" s="26">
        <v>5</v>
      </c>
      <c r="D22" s="26"/>
      <c r="E22" s="28">
        <f t="shared" si="0"/>
        <v>10.227</v>
      </c>
      <c r="F22" s="28">
        <f t="shared" si="1"/>
        <v>10.227</v>
      </c>
      <c r="G22" s="28"/>
      <c r="H22" s="219"/>
      <c r="I22" s="28"/>
      <c r="J22" s="219">
        <v>0.006</v>
      </c>
      <c r="K22" s="28">
        <f t="shared" si="3"/>
        <v>2.898</v>
      </c>
      <c r="L22" s="29"/>
      <c r="M22" s="29"/>
      <c r="N22" s="29"/>
      <c r="O22" s="219">
        <v>0.007</v>
      </c>
      <c r="P22" s="28">
        <f>O22*1047</f>
        <v>7.329</v>
      </c>
      <c r="Q22" s="26"/>
      <c r="R22" s="26"/>
      <c r="S22" s="26">
        <v>2</v>
      </c>
      <c r="T22" s="26"/>
      <c r="U22" s="26"/>
      <c r="V22" s="26">
        <v>2</v>
      </c>
      <c r="W22" s="26"/>
      <c r="X22" s="28"/>
      <c r="Y22" s="26"/>
      <c r="Z22" s="220"/>
      <c r="AA22" s="28"/>
      <c r="AB22" s="29"/>
      <c r="AC22" s="28"/>
      <c r="AD22" s="29"/>
      <c r="AE22" s="28"/>
      <c r="AF22" s="29"/>
      <c r="AG22" s="31"/>
      <c r="AH22" s="31"/>
      <c r="AI22" s="34"/>
      <c r="AJ22" s="34">
        <v>6</v>
      </c>
      <c r="AK22" s="30"/>
      <c r="AL22" s="32"/>
      <c r="AM22" s="32"/>
      <c r="AN22" s="32"/>
      <c r="AO22" s="79"/>
      <c r="AP22" s="32"/>
      <c r="AQ22" s="32"/>
    </row>
    <row r="23" spans="1:43" ht="12.75">
      <c r="A23" s="26">
        <f t="shared" si="2"/>
        <v>15</v>
      </c>
      <c r="B23" s="27" t="s">
        <v>51</v>
      </c>
      <c r="C23" s="26">
        <v>65</v>
      </c>
      <c r="D23" s="26"/>
      <c r="E23" s="28">
        <f t="shared" si="0"/>
        <v>4.9266000000000005</v>
      </c>
      <c r="F23" s="28">
        <f t="shared" si="1"/>
        <v>4.9266000000000005</v>
      </c>
      <c r="G23" s="28"/>
      <c r="H23" s="219"/>
      <c r="I23" s="28"/>
      <c r="J23" s="219">
        <v>0.0102</v>
      </c>
      <c r="K23" s="28">
        <f t="shared" si="3"/>
        <v>4.9266000000000005</v>
      </c>
      <c r="L23" s="29"/>
      <c r="M23" s="29"/>
      <c r="N23" s="29"/>
      <c r="O23" s="219"/>
      <c r="P23" s="28"/>
      <c r="Q23" s="26"/>
      <c r="R23" s="26"/>
      <c r="S23" s="26"/>
      <c r="T23" s="26"/>
      <c r="U23" s="26"/>
      <c r="V23" s="26"/>
      <c r="W23" s="26"/>
      <c r="X23" s="28"/>
      <c r="Y23" s="26"/>
      <c r="Z23" s="220"/>
      <c r="AA23" s="28"/>
      <c r="AB23" s="29"/>
      <c r="AC23" s="28"/>
      <c r="AD23" s="29"/>
      <c r="AE23" s="28"/>
      <c r="AF23" s="29"/>
      <c r="AG23" s="31"/>
      <c r="AH23" s="31"/>
      <c r="AI23" s="34"/>
      <c r="AJ23" s="34">
        <v>2</v>
      </c>
      <c r="AK23" s="30"/>
      <c r="AL23" s="32"/>
      <c r="AM23" s="32"/>
      <c r="AN23" s="32"/>
      <c r="AO23" s="79"/>
      <c r="AP23" s="32"/>
      <c r="AQ23" s="32"/>
    </row>
    <row r="24" spans="1:43" ht="12.75">
      <c r="A24" s="26">
        <f t="shared" si="2"/>
        <v>16</v>
      </c>
      <c r="B24" s="27" t="s">
        <v>51</v>
      </c>
      <c r="C24" s="26">
        <v>67</v>
      </c>
      <c r="D24" s="26"/>
      <c r="E24" s="28">
        <f t="shared" si="0"/>
        <v>15.842400000000001</v>
      </c>
      <c r="F24" s="28">
        <f t="shared" si="1"/>
        <v>15.842400000000001</v>
      </c>
      <c r="G24" s="28"/>
      <c r="H24" s="219"/>
      <c r="I24" s="28"/>
      <c r="J24" s="219">
        <v>0.0328</v>
      </c>
      <c r="K24" s="28">
        <f t="shared" si="3"/>
        <v>15.842400000000001</v>
      </c>
      <c r="L24" s="29"/>
      <c r="M24" s="29"/>
      <c r="N24" s="29"/>
      <c r="O24" s="219"/>
      <c r="P24" s="28"/>
      <c r="Q24" s="26"/>
      <c r="R24" s="26"/>
      <c r="S24" s="26">
        <v>1</v>
      </c>
      <c r="T24" s="26"/>
      <c r="U24" s="26"/>
      <c r="V24" s="26">
        <v>1</v>
      </c>
      <c r="W24" s="26"/>
      <c r="X24" s="28"/>
      <c r="Y24" s="26"/>
      <c r="Z24" s="220"/>
      <c r="AA24" s="28"/>
      <c r="AB24" s="29"/>
      <c r="AC24" s="28"/>
      <c r="AD24" s="29"/>
      <c r="AE24" s="28"/>
      <c r="AF24" s="29"/>
      <c r="AG24" s="31"/>
      <c r="AH24" s="31"/>
      <c r="AI24" s="34"/>
      <c r="AJ24" s="34">
        <v>2</v>
      </c>
      <c r="AK24" s="30"/>
      <c r="AL24" s="32"/>
      <c r="AM24" s="32"/>
      <c r="AN24" s="32"/>
      <c r="AO24" s="79"/>
      <c r="AP24" s="32"/>
      <c r="AQ24" s="32"/>
    </row>
    <row r="25" spans="1:43" ht="12.75">
      <c r="A25" s="26">
        <f t="shared" si="2"/>
        <v>17</v>
      </c>
      <c r="B25" s="27" t="s">
        <v>51</v>
      </c>
      <c r="C25" s="26">
        <v>69</v>
      </c>
      <c r="D25" s="26"/>
      <c r="E25" s="28">
        <f t="shared" si="0"/>
        <v>7.1484000000000005</v>
      </c>
      <c r="F25" s="28">
        <f t="shared" si="1"/>
        <v>7.1484000000000005</v>
      </c>
      <c r="G25" s="28"/>
      <c r="H25" s="219"/>
      <c r="I25" s="28"/>
      <c r="J25" s="219">
        <v>0.0148</v>
      </c>
      <c r="K25" s="28">
        <f t="shared" si="3"/>
        <v>7.1484000000000005</v>
      </c>
      <c r="L25" s="29"/>
      <c r="M25" s="29"/>
      <c r="N25" s="29"/>
      <c r="O25" s="219"/>
      <c r="P25" s="28"/>
      <c r="Q25" s="26"/>
      <c r="R25" s="26"/>
      <c r="S25" s="26">
        <v>3</v>
      </c>
      <c r="T25" s="26"/>
      <c r="U25" s="26"/>
      <c r="V25" s="26"/>
      <c r="W25" s="26"/>
      <c r="X25" s="28"/>
      <c r="Y25" s="26"/>
      <c r="Z25" s="220"/>
      <c r="AA25" s="28"/>
      <c r="AB25" s="29"/>
      <c r="AC25" s="28"/>
      <c r="AD25" s="29"/>
      <c r="AE25" s="28"/>
      <c r="AF25" s="29"/>
      <c r="AG25" s="31"/>
      <c r="AH25" s="31"/>
      <c r="AI25" s="34"/>
      <c r="AJ25" s="34">
        <v>5</v>
      </c>
      <c r="AK25" s="30"/>
      <c r="AL25" s="32"/>
      <c r="AM25" s="32"/>
      <c r="AN25" s="32"/>
      <c r="AO25" s="79"/>
      <c r="AP25" s="32"/>
      <c r="AQ25" s="32"/>
    </row>
    <row r="26" spans="1:43" ht="12.75">
      <c r="A26" s="26">
        <f t="shared" si="2"/>
        <v>18</v>
      </c>
      <c r="B26" s="27" t="s">
        <v>51</v>
      </c>
      <c r="C26" s="26">
        <v>73</v>
      </c>
      <c r="D26" s="26"/>
      <c r="E26" s="28">
        <f t="shared" si="0"/>
        <v>0</v>
      </c>
      <c r="F26" s="28">
        <f t="shared" si="1"/>
        <v>0</v>
      </c>
      <c r="G26" s="28"/>
      <c r="H26" s="219"/>
      <c r="I26" s="28"/>
      <c r="J26" s="219"/>
      <c r="K26" s="28"/>
      <c r="L26" s="29"/>
      <c r="M26" s="29"/>
      <c r="N26" s="29"/>
      <c r="O26" s="219"/>
      <c r="P26" s="28"/>
      <c r="Q26" s="26"/>
      <c r="R26" s="26"/>
      <c r="S26" s="26"/>
      <c r="T26" s="26"/>
      <c r="U26" s="26"/>
      <c r="V26" s="26"/>
      <c r="W26" s="26"/>
      <c r="X26" s="28"/>
      <c r="Y26" s="26"/>
      <c r="Z26" s="29"/>
      <c r="AA26" s="28"/>
      <c r="AB26" s="29"/>
      <c r="AC26" s="28"/>
      <c r="AD26" s="29"/>
      <c r="AE26" s="28"/>
      <c r="AF26" s="29"/>
      <c r="AG26" s="31"/>
      <c r="AH26" s="31"/>
      <c r="AI26" s="34"/>
      <c r="AJ26" s="34">
        <v>2</v>
      </c>
      <c r="AK26" s="30"/>
      <c r="AL26" s="32"/>
      <c r="AM26" s="32"/>
      <c r="AN26" s="32"/>
      <c r="AO26" s="79"/>
      <c r="AP26" s="32"/>
      <c r="AQ26" s="32"/>
    </row>
    <row r="27" spans="1:43" ht="12.75">
      <c r="A27" s="26">
        <f t="shared" si="2"/>
        <v>19</v>
      </c>
      <c r="B27" s="27" t="s">
        <v>51</v>
      </c>
      <c r="C27" s="26">
        <v>79</v>
      </c>
      <c r="D27" s="26"/>
      <c r="E27" s="28">
        <f t="shared" si="0"/>
        <v>15.5526</v>
      </c>
      <c r="F27" s="28">
        <f t="shared" si="1"/>
        <v>15.5526</v>
      </c>
      <c r="G27" s="28"/>
      <c r="H27" s="219"/>
      <c r="I27" s="28"/>
      <c r="J27" s="219">
        <v>0.0322</v>
      </c>
      <c r="K27" s="28">
        <f>J27*483</f>
        <v>15.5526</v>
      </c>
      <c r="L27" s="29"/>
      <c r="M27" s="29"/>
      <c r="N27" s="29"/>
      <c r="O27" s="219"/>
      <c r="P27" s="28"/>
      <c r="Q27" s="26"/>
      <c r="R27" s="26"/>
      <c r="S27" s="26">
        <v>1</v>
      </c>
      <c r="T27" s="26"/>
      <c r="U27" s="26"/>
      <c r="V27" s="26">
        <v>1.5</v>
      </c>
      <c r="W27" s="26"/>
      <c r="X27" s="28"/>
      <c r="Y27" s="26"/>
      <c r="Z27" s="29"/>
      <c r="AA27" s="28"/>
      <c r="AB27" s="29"/>
      <c r="AC27" s="28"/>
      <c r="AD27" s="29"/>
      <c r="AE27" s="28"/>
      <c r="AF27" s="29"/>
      <c r="AG27" s="31"/>
      <c r="AH27" s="31"/>
      <c r="AI27" s="34"/>
      <c r="AJ27" s="34">
        <v>2</v>
      </c>
      <c r="AK27" s="30"/>
      <c r="AL27" s="32"/>
      <c r="AM27" s="32"/>
      <c r="AN27" s="32"/>
      <c r="AO27" s="79"/>
      <c r="AP27" s="32"/>
      <c r="AQ27" s="32"/>
    </row>
    <row r="28" spans="1:43" ht="12.75">
      <c r="A28" s="26">
        <f t="shared" si="2"/>
        <v>20</v>
      </c>
      <c r="B28" s="27" t="s">
        <v>51</v>
      </c>
      <c r="C28" s="26">
        <v>81</v>
      </c>
      <c r="D28" s="26"/>
      <c r="E28" s="28">
        <f t="shared" si="0"/>
        <v>8.693999999999999</v>
      </c>
      <c r="F28" s="28">
        <f t="shared" si="1"/>
        <v>8.693999999999999</v>
      </c>
      <c r="G28" s="28"/>
      <c r="H28" s="219"/>
      <c r="I28" s="28"/>
      <c r="J28" s="219">
        <v>0.018</v>
      </c>
      <c r="K28" s="28">
        <f>J28*483</f>
        <v>8.693999999999999</v>
      </c>
      <c r="L28" s="29"/>
      <c r="M28" s="29"/>
      <c r="N28" s="29"/>
      <c r="O28" s="219"/>
      <c r="P28" s="28"/>
      <c r="Q28" s="26"/>
      <c r="R28" s="26"/>
      <c r="S28" s="26">
        <v>1</v>
      </c>
      <c r="T28" s="26"/>
      <c r="U28" s="26"/>
      <c r="V28" s="26">
        <v>1</v>
      </c>
      <c r="W28" s="26"/>
      <c r="X28" s="28"/>
      <c r="Y28" s="26"/>
      <c r="Z28" s="29"/>
      <c r="AA28" s="28"/>
      <c r="AB28" s="29"/>
      <c r="AC28" s="28"/>
      <c r="AD28" s="29"/>
      <c r="AE28" s="28"/>
      <c r="AF28" s="29"/>
      <c r="AG28" s="31"/>
      <c r="AH28" s="31"/>
      <c r="AI28" s="34"/>
      <c r="AJ28" s="34">
        <v>2</v>
      </c>
      <c r="AK28" s="30"/>
      <c r="AL28" s="32"/>
      <c r="AM28" s="32"/>
      <c r="AN28" s="32"/>
      <c r="AO28" s="79"/>
      <c r="AP28" s="32"/>
      <c r="AQ28" s="32"/>
    </row>
    <row r="29" spans="1:43" ht="12.75">
      <c r="A29" s="26">
        <f t="shared" si="2"/>
        <v>21</v>
      </c>
      <c r="B29" s="27" t="s">
        <v>51</v>
      </c>
      <c r="C29" s="26">
        <v>83</v>
      </c>
      <c r="D29" s="26" t="s">
        <v>41</v>
      </c>
      <c r="E29" s="28">
        <f t="shared" si="0"/>
        <v>0</v>
      </c>
      <c r="F29" s="28">
        <f t="shared" si="1"/>
        <v>0</v>
      </c>
      <c r="G29" s="28"/>
      <c r="H29" s="219"/>
      <c r="I29" s="28"/>
      <c r="J29" s="219"/>
      <c r="K29" s="28"/>
      <c r="L29" s="29"/>
      <c r="M29" s="29"/>
      <c r="N29" s="29"/>
      <c r="O29" s="219"/>
      <c r="P29" s="28"/>
      <c r="Q29" s="26"/>
      <c r="R29" s="26"/>
      <c r="S29" s="26"/>
      <c r="T29" s="26"/>
      <c r="U29" s="26"/>
      <c r="V29" s="26"/>
      <c r="W29" s="26"/>
      <c r="X29" s="28"/>
      <c r="Y29" s="26"/>
      <c r="Z29" s="29"/>
      <c r="AA29" s="28"/>
      <c r="AB29" s="29"/>
      <c r="AC29" s="28"/>
      <c r="AD29" s="29"/>
      <c r="AE29" s="28"/>
      <c r="AF29" s="29"/>
      <c r="AG29" s="31"/>
      <c r="AH29" s="31"/>
      <c r="AI29" s="34"/>
      <c r="AJ29" s="34">
        <v>1</v>
      </c>
      <c r="AK29" s="30"/>
      <c r="AL29" s="32"/>
      <c r="AM29" s="32"/>
      <c r="AN29" s="32"/>
      <c r="AO29" s="79"/>
      <c r="AP29" s="32"/>
      <c r="AQ29" s="32"/>
    </row>
    <row r="30" spans="1:43" ht="12.75">
      <c r="A30" s="26">
        <f t="shared" si="2"/>
        <v>22</v>
      </c>
      <c r="B30" s="27" t="s">
        <v>51</v>
      </c>
      <c r="C30" s="26">
        <v>83</v>
      </c>
      <c r="D30" s="26"/>
      <c r="E30" s="28">
        <f t="shared" si="0"/>
        <v>143.8206</v>
      </c>
      <c r="F30" s="28">
        <f t="shared" si="1"/>
        <v>143.8206</v>
      </c>
      <c r="G30" s="28"/>
      <c r="H30" s="219">
        <v>0.007</v>
      </c>
      <c r="I30" s="28">
        <f>H30*1450</f>
        <v>10.15</v>
      </c>
      <c r="J30" s="219">
        <v>0.0612</v>
      </c>
      <c r="K30" s="28">
        <f>J30*483</f>
        <v>29.5596</v>
      </c>
      <c r="L30" s="29"/>
      <c r="M30" s="29"/>
      <c r="N30" s="29"/>
      <c r="O30" s="219"/>
      <c r="P30" s="28"/>
      <c r="Q30" s="26"/>
      <c r="R30" s="26"/>
      <c r="S30" s="26">
        <v>1</v>
      </c>
      <c r="T30" s="26"/>
      <c r="U30" s="26"/>
      <c r="V30" s="26">
        <v>2</v>
      </c>
      <c r="W30" s="26"/>
      <c r="X30" s="28"/>
      <c r="Y30" s="26"/>
      <c r="Z30" s="29" t="s">
        <v>142</v>
      </c>
      <c r="AA30" s="28">
        <v>104.111</v>
      </c>
      <c r="AB30" s="29"/>
      <c r="AC30" s="28"/>
      <c r="AD30" s="29"/>
      <c r="AE30" s="28"/>
      <c r="AF30" s="29"/>
      <c r="AG30" s="31"/>
      <c r="AH30" s="31"/>
      <c r="AI30" s="34">
        <v>1</v>
      </c>
      <c r="AJ30" s="34">
        <v>4</v>
      </c>
      <c r="AK30" s="30"/>
      <c r="AL30" s="32"/>
      <c r="AM30" s="32"/>
      <c r="AN30" s="32"/>
      <c r="AO30" s="79"/>
      <c r="AP30" s="32"/>
      <c r="AQ30" s="32"/>
    </row>
    <row r="31" spans="1:43" ht="12.75">
      <c r="A31" s="22">
        <f>A30</f>
        <v>22</v>
      </c>
      <c r="B31" s="237" t="s">
        <v>121</v>
      </c>
      <c r="C31" s="282">
        <f>6*156.23</f>
        <v>937.3799999999999</v>
      </c>
      <c r="D31" s="282"/>
      <c r="E31" s="23">
        <f aca="true" t="shared" si="4" ref="E31:AN31">SUM(E9:E30)</f>
        <v>364.91380000000004</v>
      </c>
      <c r="F31" s="23">
        <f t="shared" si="4"/>
        <v>364.91380000000004</v>
      </c>
      <c r="G31" s="23">
        <f t="shared" si="4"/>
        <v>0</v>
      </c>
      <c r="H31" s="221">
        <f t="shared" si="4"/>
        <v>0.015</v>
      </c>
      <c r="I31" s="28">
        <f>SUM(I9:I30)</f>
        <v>21.75</v>
      </c>
      <c r="J31" s="221">
        <f t="shared" si="4"/>
        <v>0.2726</v>
      </c>
      <c r="K31" s="28">
        <f>SUM(K9:K30)</f>
        <v>131.6658</v>
      </c>
      <c r="L31" s="35">
        <f t="shared" si="4"/>
        <v>0</v>
      </c>
      <c r="M31" s="35"/>
      <c r="N31" s="35">
        <f t="shared" si="4"/>
        <v>0</v>
      </c>
      <c r="O31" s="221">
        <f t="shared" si="4"/>
        <v>0.024</v>
      </c>
      <c r="P31" s="28">
        <f>SUM(P9:P30)</f>
        <v>25.128</v>
      </c>
      <c r="Q31" s="22">
        <f t="shared" si="4"/>
        <v>0</v>
      </c>
      <c r="R31" s="22"/>
      <c r="S31" s="22">
        <f t="shared" si="4"/>
        <v>30</v>
      </c>
      <c r="T31" s="22"/>
      <c r="U31" s="22"/>
      <c r="V31" s="22">
        <f>SUM(V9:V30)</f>
        <v>24</v>
      </c>
      <c r="W31" s="22">
        <f t="shared" si="4"/>
        <v>0</v>
      </c>
      <c r="X31" s="28">
        <f>SUM(X9:X30)</f>
        <v>0</v>
      </c>
      <c r="Y31" s="22">
        <f t="shared" si="4"/>
        <v>0</v>
      </c>
      <c r="Z31" s="35">
        <f t="shared" si="4"/>
        <v>0</v>
      </c>
      <c r="AA31" s="28">
        <f>SUM(AA9:AA30)</f>
        <v>186.37</v>
      </c>
      <c r="AB31" s="35">
        <f t="shared" si="4"/>
        <v>0</v>
      </c>
      <c r="AC31" s="23"/>
      <c r="AD31" s="35">
        <f t="shared" si="4"/>
        <v>0</v>
      </c>
      <c r="AE31" s="23"/>
      <c r="AF31" s="35">
        <f t="shared" si="4"/>
        <v>0</v>
      </c>
      <c r="AG31" s="23"/>
      <c r="AH31" s="23"/>
      <c r="AI31" s="22">
        <f t="shared" si="4"/>
        <v>1</v>
      </c>
      <c r="AJ31" s="22">
        <f t="shared" si="4"/>
        <v>72</v>
      </c>
      <c r="AK31" s="35">
        <f t="shared" si="4"/>
        <v>0</v>
      </c>
      <c r="AL31" s="22">
        <f t="shared" si="4"/>
        <v>0</v>
      </c>
      <c r="AM31" s="22">
        <f t="shared" si="4"/>
        <v>0</v>
      </c>
      <c r="AN31" s="22">
        <f t="shared" si="4"/>
        <v>0</v>
      </c>
      <c r="AO31" s="79"/>
      <c r="AP31" s="32"/>
      <c r="AQ31" s="32"/>
    </row>
    <row r="32" spans="1:43" s="49" customFormat="1" ht="12.75">
      <c r="A32" s="45">
        <v>1</v>
      </c>
      <c r="B32" s="46" t="s">
        <v>53</v>
      </c>
      <c r="C32" s="45">
        <v>6</v>
      </c>
      <c r="D32" s="45"/>
      <c r="E32" s="29">
        <f aca="true" t="shared" si="5" ref="E32:E41">I32+K32+P32+X32+AA32+AC32+AE32+AG32+U32</f>
        <v>0</v>
      </c>
      <c r="F32" s="29">
        <f aca="true" t="shared" si="6" ref="F32:F51">E32-G32</f>
        <v>0</v>
      </c>
      <c r="G32" s="45"/>
      <c r="H32" s="29"/>
      <c r="I32" s="29"/>
      <c r="J32" s="219"/>
      <c r="K32" s="29"/>
      <c r="L32" s="41"/>
      <c r="M32" s="41"/>
      <c r="N32" s="41"/>
      <c r="O32" s="21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45"/>
      <c r="AC32" s="29"/>
      <c r="AD32" s="45"/>
      <c r="AE32" s="45"/>
      <c r="AF32" s="29"/>
      <c r="AG32" s="29"/>
      <c r="AH32" s="48"/>
      <c r="AI32" s="47"/>
      <c r="AJ32" s="47">
        <v>1</v>
      </c>
      <c r="AK32" s="48"/>
      <c r="AL32" s="48"/>
      <c r="AM32" s="45"/>
      <c r="AN32" s="48"/>
      <c r="AO32" s="80" t="s">
        <v>54</v>
      </c>
      <c r="AP32" s="48"/>
      <c r="AQ32" s="48"/>
    </row>
    <row r="33" spans="1:43" s="49" customFormat="1" ht="12.75">
      <c r="A33" s="45">
        <f>A32+1</f>
        <v>2</v>
      </c>
      <c r="B33" s="46" t="s">
        <v>53</v>
      </c>
      <c r="C33" s="45">
        <v>8</v>
      </c>
      <c r="D33" s="45"/>
      <c r="E33" s="29">
        <f t="shared" si="5"/>
        <v>2.898</v>
      </c>
      <c r="F33" s="29">
        <f t="shared" si="6"/>
        <v>2.898</v>
      </c>
      <c r="G33" s="45"/>
      <c r="H33" s="29"/>
      <c r="I33" s="29"/>
      <c r="J33" s="219">
        <v>0.006</v>
      </c>
      <c r="K33" s="28">
        <f>J33*483</f>
        <v>2.898</v>
      </c>
      <c r="L33" s="41"/>
      <c r="M33" s="41"/>
      <c r="N33" s="41"/>
      <c r="O33" s="219"/>
      <c r="P33" s="29"/>
      <c r="Q33" s="29"/>
      <c r="R33" s="29"/>
      <c r="S33" s="34">
        <v>4</v>
      </c>
      <c r="T33" s="29"/>
      <c r="U33" s="29"/>
      <c r="V33" s="34">
        <v>10</v>
      </c>
      <c r="W33" s="29"/>
      <c r="X33" s="29"/>
      <c r="Y33" s="29"/>
      <c r="Z33" s="29"/>
      <c r="AA33" s="29"/>
      <c r="AB33" s="45"/>
      <c r="AC33" s="29"/>
      <c r="AD33" s="45"/>
      <c r="AE33" s="45"/>
      <c r="AF33" s="29"/>
      <c r="AG33" s="29"/>
      <c r="AH33" s="48"/>
      <c r="AI33" s="47">
        <v>2</v>
      </c>
      <c r="AJ33" s="47">
        <v>6</v>
      </c>
      <c r="AK33" s="48"/>
      <c r="AL33" s="48"/>
      <c r="AM33" s="45"/>
      <c r="AN33" s="48"/>
      <c r="AO33" s="80" t="s">
        <v>55</v>
      </c>
      <c r="AP33" s="48"/>
      <c r="AQ33" s="48"/>
    </row>
    <row r="34" spans="1:43" s="49" customFormat="1" ht="12.75">
      <c r="A34" s="45">
        <f aca="true" t="shared" si="7" ref="A34:A51">A33+1</f>
        <v>3</v>
      </c>
      <c r="B34" s="46" t="s">
        <v>53</v>
      </c>
      <c r="C34" s="45">
        <v>12</v>
      </c>
      <c r="D34" s="45"/>
      <c r="E34" s="29">
        <f t="shared" si="5"/>
        <v>0</v>
      </c>
      <c r="F34" s="29">
        <f t="shared" si="6"/>
        <v>0</v>
      </c>
      <c r="G34" s="45"/>
      <c r="H34" s="29"/>
      <c r="I34" s="29"/>
      <c r="J34" s="219"/>
      <c r="K34" s="29"/>
      <c r="L34" s="41"/>
      <c r="M34" s="41"/>
      <c r="N34" s="41"/>
      <c r="O34" s="219"/>
      <c r="P34" s="29"/>
      <c r="Q34" s="29"/>
      <c r="R34" s="29"/>
      <c r="S34" s="34">
        <v>3</v>
      </c>
      <c r="T34" s="29"/>
      <c r="U34" s="29"/>
      <c r="V34" s="34">
        <v>9</v>
      </c>
      <c r="W34" s="29"/>
      <c r="X34" s="29"/>
      <c r="Y34" s="29"/>
      <c r="Z34" s="220"/>
      <c r="AA34" s="28"/>
      <c r="AB34" s="45"/>
      <c r="AC34" s="29"/>
      <c r="AD34" s="45"/>
      <c r="AE34" s="45"/>
      <c r="AF34" s="29"/>
      <c r="AG34" s="29"/>
      <c r="AH34" s="48"/>
      <c r="AI34" s="47">
        <v>1</v>
      </c>
      <c r="AJ34" s="47">
        <v>2</v>
      </c>
      <c r="AK34" s="48"/>
      <c r="AL34" s="48"/>
      <c r="AM34" s="45"/>
      <c r="AN34" s="48"/>
      <c r="AO34" s="80" t="s">
        <v>56</v>
      </c>
      <c r="AP34" s="48"/>
      <c r="AQ34" s="61" t="s">
        <v>91</v>
      </c>
    </row>
    <row r="35" spans="1:43" s="49" customFormat="1" ht="12.75">
      <c r="A35" s="45">
        <f t="shared" si="7"/>
        <v>4</v>
      </c>
      <c r="B35" s="46" t="s">
        <v>53</v>
      </c>
      <c r="C35" s="45">
        <v>14</v>
      </c>
      <c r="D35" s="45"/>
      <c r="E35" s="29">
        <f t="shared" si="5"/>
        <v>4.3469999999999995</v>
      </c>
      <c r="F35" s="29">
        <f t="shared" si="6"/>
        <v>4.3469999999999995</v>
      </c>
      <c r="G35" s="45"/>
      <c r="H35" s="29"/>
      <c r="I35" s="29"/>
      <c r="J35" s="219">
        <v>0.009</v>
      </c>
      <c r="K35" s="28">
        <f>J35*483</f>
        <v>4.3469999999999995</v>
      </c>
      <c r="L35" s="41"/>
      <c r="M35" s="41"/>
      <c r="N35" s="41"/>
      <c r="O35" s="219"/>
      <c r="P35" s="29"/>
      <c r="Q35" s="29"/>
      <c r="R35" s="29"/>
      <c r="S35" s="34">
        <v>4</v>
      </c>
      <c r="T35" s="29"/>
      <c r="U35" s="29"/>
      <c r="V35" s="34">
        <v>13</v>
      </c>
      <c r="W35" s="29"/>
      <c r="X35" s="29"/>
      <c r="Y35" s="29"/>
      <c r="Z35" s="29"/>
      <c r="AA35" s="29"/>
      <c r="AB35" s="45"/>
      <c r="AC35" s="29"/>
      <c r="AD35" s="45"/>
      <c r="AE35" s="45"/>
      <c r="AF35" s="29"/>
      <c r="AG35" s="29"/>
      <c r="AH35" s="48"/>
      <c r="AI35" s="47">
        <v>2</v>
      </c>
      <c r="AJ35" s="47">
        <v>2</v>
      </c>
      <c r="AK35" s="48"/>
      <c r="AL35" s="48"/>
      <c r="AM35" s="45"/>
      <c r="AN35" s="48"/>
      <c r="AO35" s="80"/>
      <c r="AP35" s="48"/>
      <c r="AQ35" s="48"/>
    </row>
    <row r="36" spans="1:43" s="49" customFormat="1" ht="12.75">
      <c r="A36" s="45">
        <f t="shared" si="7"/>
        <v>5</v>
      </c>
      <c r="B36" s="46" t="s">
        <v>53</v>
      </c>
      <c r="C36" s="45">
        <v>16</v>
      </c>
      <c r="D36" s="45"/>
      <c r="E36" s="29">
        <f t="shared" si="5"/>
        <v>36.721000000000004</v>
      </c>
      <c r="F36" s="29">
        <f t="shared" si="6"/>
        <v>36.721000000000004</v>
      </c>
      <c r="G36" s="45"/>
      <c r="H36" s="29"/>
      <c r="I36" s="29"/>
      <c r="J36" s="219"/>
      <c r="K36" s="29"/>
      <c r="L36" s="41"/>
      <c r="M36" s="41"/>
      <c r="N36" s="41"/>
      <c r="O36" s="219"/>
      <c r="P36" s="29"/>
      <c r="Q36" s="29"/>
      <c r="R36" s="29"/>
      <c r="S36" s="34">
        <v>3</v>
      </c>
      <c r="T36" s="29"/>
      <c r="U36" s="29"/>
      <c r="V36" s="34">
        <v>11</v>
      </c>
      <c r="W36" s="29"/>
      <c r="X36" s="29"/>
      <c r="Y36" s="29"/>
      <c r="Z36" s="29">
        <v>0.01</v>
      </c>
      <c r="AA36" s="29">
        <v>9.72</v>
      </c>
      <c r="AB36" s="45" t="s">
        <v>143</v>
      </c>
      <c r="AC36" s="29">
        <v>27.001</v>
      </c>
      <c r="AD36" s="45"/>
      <c r="AE36" s="45"/>
      <c r="AF36" s="29"/>
      <c r="AG36" s="29"/>
      <c r="AH36" s="48"/>
      <c r="AI36" s="47"/>
      <c r="AJ36" s="47">
        <v>3</v>
      </c>
      <c r="AK36" s="48"/>
      <c r="AL36" s="48"/>
      <c r="AM36" s="45"/>
      <c r="AN36" s="48"/>
      <c r="AO36" s="80"/>
      <c r="AP36" s="48"/>
      <c r="AQ36" s="48"/>
    </row>
    <row r="37" spans="1:43" s="49" customFormat="1" ht="12.75">
      <c r="A37" s="45">
        <f t="shared" si="7"/>
        <v>6</v>
      </c>
      <c r="B37" s="46" t="s">
        <v>53</v>
      </c>
      <c r="C37" s="45">
        <v>18</v>
      </c>
      <c r="D37" s="45"/>
      <c r="E37" s="29">
        <f t="shared" si="5"/>
        <v>0</v>
      </c>
      <c r="F37" s="29">
        <f t="shared" si="6"/>
        <v>0</v>
      </c>
      <c r="G37" s="45"/>
      <c r="H37" s="29"/>
      <c r="I37" s="29"/>
      <c r="J37" s="219"/>
      <c r="K37" s="29"/>
      <c r="L37" s="41"/>
      <c r="M37" s="41"/>
      <c r="N37" s="41"/>
      <c r="O37" s="219"/>
      <c r="P37" s="29"/>
      <c r="Q37" s="29"/>
      <c r="R37" s="29"/>
      <c r="S37" s="34"/>
      <c r="T37" s="29"/>
      <c r="U37" s="29"/>
      <c r="V37" s="34"/>
      <c r="W37" s="29"/>
      <c r="X37" s="29"/>
      <c r="Y37" s="29"/>
      <c r="Z37" s="29"/>
      <c r="AA37" s="29"/>
      <c r="AB37" s="45"/>
      <c r="AC37" s="29"/>
      <c r="AD37" s="45"/>
      <c r="AE37" s="45"/>
      <c r="AF37" s="29"/>
      <c r="AG37" s="29"/>
      <c r="AH37" s="48"/>
      <c r="AI37" s="47"/>
      <c r="AJ37" s="47">
        <v>1</v>
      </c>
      <c r="AK37" s="48"/>
      <c r="AL37" s="48"/>
      <c r="AM37" s="45"/>
      <c r="AN37" s="48"/>
      <c r="AO37" s="80"/>
      <c r="AP37" s="48"/>
      <c r="AQ37" s="48"/>
    </row>
    <row r="38" spans="1:43" s="49" customFormat="1" ht="12.75">
      <c r="A38" s="45">
        <f t="shared" si="7"/>
        <v>7</v>
      </c>
      <c r="B38" s="46" t="s">
        <v>57</v>
      </c>
      <c r="C38" s="45">
        <v>36</v>
      </c>
      <c r="D38" s="45"/>
      <c r="E38" s="29">
        <f t="shared" si="5"/>
        <v>0</v>
      </c>
      <c r="F38" s="29">
        <f t="shared" si="6"/>
        <v>0</v>
      </c>
      <c r="G38" s="45"/>
      <c r="H38" s="29"/>
      <c r="I38" s="29"/>
      <c r="J38" s="219"/>
      <c r="K38" s="29"/>
      <c r="L38" s="41"/>
      <c r="M38" s="41"/>
      <c r="N38" s="41"/>
      <c r="O38" s="219"/>
      <c r="P38" s="29"/>
      <c r="Q38" s="29"/>
      <c r="R38" s="29"/>
      <c r="S38" s="34">
        <v>8</v>
      </c>
      <c r="T38" s="29"/>
      <c r="U38" s="29"/>
      <c r="V38" s="34">
        <v>35</v>
      </c>
      <c r="W38" s="29"/>
      <c r="X38" s="29"/>
      <c r="Y38" s="29"/>
      <c r="Z38" s="29"/>
      <c r="AA38" s="29"/>
      <c r="AB38" s="45"/>
      <c r="AC38" s="29"/>
      <c r="AD38" s="45"/>
      <c r="AE38" s="45"/>
      <c r="AF38" s="29"/>
      <c r="AG38" s="29"/>
      <c r="AH38" s="48"/>
      <c r="AI38" s="47">
        <v>3</v>
      </c>
      <c r="AJ38" s="47">
        <v>18</v>
      </c>
      <c r="AK38" s="48"/>
      <c r="AL38" s="48"/>
      <c r="AM38" s="45"/>
      <c r="AN38" s="48"/>
      <c r="AO38" s="80"/>
      <c r="AP38" s="48"/>
      <c r="AQ38" s="48"/>
    </row>
    <row r="39" spans="1:43" s="49" customFormat="1" ht="26.25" customHeight="1">
      <c r="A39" s="45">
        <f t="shared" si="7"/>
        <v>8</v>
      </c>
      <c r="B39" s="46" t="s">
        <v>57</v>
      </c>
      <c r="C39" s="45">
        <v>42</v>
      </c>
      <c r="D39" s="45"/>
      <c r="E39" s="29">
        <f t="shared" si="5"/>
        <v>3</v>
      </c>
      <c r="F39" s="29">
        <f t="shared" si="6"/>
        <v>3</v>
      </c>
      <c r="G39" s="45"/>
      <c r="H39" s="29"/>
      <c r="I39" s="29"/>
      <c r="J39" s="219"/>
      <c r="K39" s="29"/>
      <c r="L39" s="41"/>
      <c r="M39" s="41"/>
      <c r="N39" s="41"/>
      <c r="O39" s="219"/>
      <c r="P39" s="29"/>
      <c r="Q39" s="29"/>
      <c r="R39" s="29"/>
      <c r="S39" s="34">
        <v>2</v>
      </c>
      <c r="T39" s="29"/>
      <c r="U39" s="29"/>
      <c r="V39" s="34">
        <v>9</v>
      </c>
      <c r="W39" s="29"/>
      <c r="X39" s="29"/>
      <c r="Y39" s="29"/>
      <c r="Z39" s="29"/>
      <c r="AA39" s="29"/>
      <c r="AB39" s="242" t="s">
        <v>136</v>
      </c>
      <c r="AC39" s="29">
        <v>3</v>
      </c>
      <c r="AD39" s="45"/>
      <c r="AE39" s="45"/>
      <c r="AF39" s="29"/>
      <c r="AG39" s="29"/>
      <c r="AH39" s="48"/>
      <c r="AI39" s="47">
        <v>1</v>
      </c>
      <c r="AJ39" s="47">
        <v>1</v>
      </c>
      <c r="AK39" s="48"/>
      <c r="AL39" s="48"/>
      <c r="AM39" s="45"/>
      <c r="AN39" s="48"/>
      <c r="AO39" s="80"/>
      <c r="AP39" s="48"/>
      <c r="AQ39" s="48"/>
    </row>
    <row r="40" spans="1:43" s="49" customFormat="1" ht="25.5">
      <c r="A40" s="45">
        <f t="shared" si="7"/>
        <v>9</v>
      </c>
      <c r="B40" s="46" t="s">
        <v>57</v>
      </c>
      <c r="C40" s="45">
        <v>44</v>
      </c>
      <c r="D40" s="45"/>
      <c r="E40" s="29">
        <f t="shared" si="5"/>
        <v>3</v>
      </c>
      <c r="F40" s="29">
        <f t="shared" si="6"/>
        <v>3</v>
      </c>
      <c r="G40" s="45"/>
      <c r="H40" s="29"/>
      <c r="I40" s="29"/>
      <c r="J40" s="219"/>
      <c r="K40" s="29"/>
      <c r="L40" s="41"/>
      <c r="M40" s="41"/>
      <c r="N40" s="41"/>
      <c r="O40" s="219"/>
      <c r="P40" s="29"/>
      <c r="Q40" s="29"/>
      <c r="R40" s="29"/>
      <c r="S40" s="34">
        <v>2</v>
      </c>
      <c r="T40" s="29"/>
      <c r="U40" s="29"/>
      <c r="V40" s="34">
        <v>10</v>
      </c>
      <c r="W40" s="29"/>
      <c r="X40" s="29"/>
      <c r="Y40" s="29"/>
      <c r="Z40" s="29"/>
      <c r="AA40" s="29"/>
      <c r="AB40" s="242" t="s">
        <v>136</v>
      </c>
      <c r="AC40" s="29">
        <v>3</v>
      </c>
      <c r="AD40" s="45"/>
      <c r="AE40" s="45"/>
      <c r="AF40" s="29"/>
      <c r="AG40" s="29"/>
      <c r="AH40" s="48"/>
      <c r="AI40" s="47">
        <v>1</v>
      </c>
      <c r="AJ40" s="47">
        <v>1</v>
      </c>
      <c r="AK40" s="48"/>
      <c r="AL40" s="48"/>
      <c r="AM40" s="45"/>
      <c r="AN40" s="48"/>
      <c r="AO40" s="80"/>
      <c r="AP40" s="48"/>
      <c r="AQ40" s="48"/>
    </row>
    <row r="41" spans="1:43" s="49" customFormat="1" ht="12.75">
      <c r="A41" s="45">
        <f t="shared" si="7"/>
        <v>10</v>
      </c>
      <c r="B41" s="46" t="s">
        <v>51</v>
      </c>
      <c r="C41" s="45">
        <v>97</v>
      </c>
      <c r="D41" s="45"/>
      <c r="E41" s="29">
        <f t="shared" si="5"/>
        <v>25.072</v>
      </c>
      <c r="F41" s="29">
        <f t="shared" si="6"/>
        <v>25.072</v>
      </c>
      <c r="G41" s="45"/>
      <c r="H41" s="29"/>
      <c r="I41" s="29"/>
      <c r="J41" s="219"/>
      <c r="K41" s="29"/>
      <c r="L41" s="41"/>
      <c r="M41" s="41"/>
      <c r="N41" s="41"/>
      <c r="O41" s="219"/>
      <c r="P41" s="29"/>
      <c r="Q41" s="29"/>
      <c r="R41" s="29"/>
      <c r="S41" s="34">
        <v>3</v>
      </c>
      <c r="T41" s="29"/>
      <c r="U41" s="29"/>
      <c r="V41" s="34">
        <v>12</v>
      </c>
      <c r="W41" s="29"/>
      <c r="X41" s="29"/>
      <c r="Y41" s="29"/>
      <c r="Z41" s="29"/>
      <c r="AA41" s="29"/>
      <c r="AB41" s="45" t="s">
        <v>143</v>
      </c>
      <c r="AC41" s="29">
        <v>25.072</v>
      </c>
      <c r="AD41" s="45"/>
      <c r="AE41" s="45"/>
      <c r="AF41" s="29"/>
      <c r="AG41" s="29"/>
      <c r="AH41" s="48"/>
      <c r="AI41" s="47">
        <v>1</v>
      </c>
      <c r="AJ41" s="47">
        <v>2</v>
      </c>
      <c r="AK41" s="48"/>
      <c r="AL41" s="48"/>
      <c r="AM41" s="45"/>
      <c r="AN41" s="48"/>
      <c r="AO41" s="80"/>
      <c r="AP41" s="48"/>
      <c r="AQ41" s="48"/>
    </row>
    <row r="42" spans="1:43" s="49" customFormat="1" ht="12.75">
      <c r="A42" s="45">
        <f t="shared" si="7"/>
        <v>11</v>
      </c>
      <c r="B42" s="46" t="s">
        <v>51</v>
      </c>
      <c r="C42" s="45">
        <v>103</v>
      </c>
      <c r="D42" s="45"/>
      <c r="E42" s="29">
        <f>I42+K42+P42+X42+AA42+AC42+AE42+AG42+U42</f>
        <v>33.116</v>
      </c>
      <c r="F42" s="29">
        <f t="shared" si="6"/>
        <v>33.116</v>
      </c>
      <c r="G42" s="45"/>
      <c r="H42" s="29">
        <v>0.02</v>
      </c>
      <c r="I42" s="28">
        <f>H42*475</f>
        <v>9.5</v>
      </c>
      <c r="J42" s="219"/>
      <c r="K42" s="29"/>
      <c r="L42" s="41"/>
      <c r="M42" s="41"/>
      <c r="N42" s="41"/>
      <c r="O42" s="219"/>
      <c r="P42" s="29"/>
      <c r="Q42" s="29"/>
      <c r="R42" s="29"/>
      <c r="S42" s="34">
        <v>6</v>
      </c>
      <c r="T42" s="29"/>
      <c r="U42" s="29"/>
      <c r="V42" s="34">
        <v>15</v>
      </c>
      <c r="W42" s="29"/>
      <c r="X42" s="29"/>
      <c r="Y42" s="29"/>
      <c r="Z42" s="29" t="s">
        <v>144</v>
      </c>
      <c r="AA42" s="29">
        <v>11.808</v>
      </c>
      <c r="AB42" s="45"/>
      <c r="AC42" s="29"/>
      <c r="AD42" s="29" t="s">
        <v>144</v>
      </c>
      <c r="AE42" s="45" t="s">
        <v>145</v>
      </c>
      <c r="AF42" s="29"/>
      <c r="AG42" s="29"/>
      <c r="AH42" s="48"/>
      <c r="AI42" s="47">
        <v>2</v>
      </c>
      <c r="AJ42" s="47">
        <v>8</v>
      </c>
      <c r="AK42" s="48"/>
      <c r="AL42" s="48"/>
      <c r="AM42" s="45"/>
      <c r="AN42" s="48"/>
      <c r="AO42" s="80"/>
      <c r="AP42" s="48"/>
      <c r="AQ42" s="48"/>
    </row>
    <row r="43" spans="1:43" s="49" customFormat="1" ht="12.75">
      <c r="A43" s="45">
        <f t="shared" si="7"/>
        <v>12</v>
      </c>
      <c r="B43" s="46" t="s">
        <v>51</v>
      </c>
      <c r="C43" s="45">
        <v>105</v>
      </c>
      <c r="D43" s="45"/>
      <c r="E43" s="29">
        <f aca="true" t="shared" si="8" ref="E43:E51">I43+K43+P43+X43+AA43+AC43+AE43+AG43+U43</f>
        <v>22.261000000000003</v>
      </c>
      <c r="F43" s="29">
        <f t="shared" si="6"/>
        <v>22.261000000000003</v>
      </c>
      <c r="G43" s="45"/>
      <c r="H43" s="29"/>
      <c r="I43" s="29"/>
      <c r="J43" s="219">
        <v>0.006</v>
      </c>
      <c r="K43" s="28">
        <f>J43*483</f>
        <v>2.898</v>
      </c>
      <c r="L43" s="41"/>
      <c r="M43" s="41"/>
      <c r="N43" s="41"/>
      <c r="O43" s="219">
        <v>0.01</v>
      </c>
      <c r="P43" s="28">
        <f>O43*1047</f>
        <v>10.47</v>
      </c>
      <c r="Q43" s="29"/>
      <c r="R43" s="29"/>
      <c r="S43" s="34">
        <v>1</v>
      </c>
      <c r="T43" s="29"/>
      <c r="U43" s="29"/>
      <c r="V43" s="34">
        <v>7</v>
      </c>
      <c r="W43" s="29"/>
      <c r="X43" s="29"/>
      <c r="Y43" s="29"/>
      <c r="Z43" s="29"/>
      <c r="AA43" s="29"/>
      <c r="AB43" s="59" t="s">
        <v>146</v>
      </c>
      <c r="AC43" s="29">
        <v>8.893</v>
      </c>
      <c r="AD43" s="45"/>
      <c r="AE43" s="45"/>
      <c r="AF43" s="29"/>
      <c r="AG43" s="29"/>
      <c r="AH43" s="48"/>
      <c r="AI43" s="47">
        <v>1</v>
      </c>
      <c r="AJ43" s="47">
        <v>1</v>
      </c>
      <c r="AK43" s="48"/>
      <c r="AL43" s="48"/>
      <c r="AM43" s="45"/>
      <c r="AN43" s="48"/>
      <c r="AO43" s="80"/>
      <c r="AP43" s="48"/>
      <c r="AQ43" s="48"/>
    </row>
    <row r="44" spans="1:43" s="49" customFormat="1" ht="12.75">
      <c r="A44" s="45">
        <f t="shared" si="7"/>
        <v>13</v>
      </c>
      <c r="B44" s="46" t="s">
        <v>51</v>
      </c>
      <c r="C44" s="45">
        <v>107</v>
      </c>
      <c r="D44" s="45"/>
      <c r="E44" s="29">
        <f t="shared" si="8"/>
        <v>0</v>
      </c>
      <c r="F44" s="29">
        <f t="shared" si="6"/>
        <v>0</v>
      </c>
      <c r="G44" s="45"/>
      <c r="H44" s="29"/>
      <c r="I44" s="29"/>
      <c r="J44" s="219"/>
      <c r="K44" s="29"/>
      <c r="L44" s="41"/>
      <c r="M44" s="41"/>
      <c r="N44" s="41"/>
      <c r="O44" s="219"/>
      <c r="P44" s="29"/>
      <c r="Q44" s="29"/>
      <c r="R44" s="29"/>
      <c r="S44" s="34">
        <v>4</v>
      </c>
      <c r="T44" s="29"/>
      <c r="U44" s="29"/>
      <c r="V44" s="34">
        <v>10</v>
      </c>
      <c r="W44" s="29"/>
      <c r="X44" s="29"/>
      <c r="Y44" s="29"/>
      <c r="Z44" s="29"/>
      <c r="AA44" s="29"/>
      <c r="AB44" s="45"/>
      <c r="AC44" s="29"/>
      <c r="AD44" s="45"/>
      <c r="AE44" s="45"/>
      <c r="AF44" s="29"/>
      <c r="AG44" s="29"/>
      <c r="AH44" s="48"/>
      <c r="AI44" s="47">
        <v>1</v>
      </c>
      <c r="AJ44" s="47">
        <v>2</v>
      </c>
      <c r="AK44" s="48"/>
      <c r="AL44" s="48"/>
      <c r="AM44" s="45"/>
      <c r="AN44" s="48"/>
      <c r="AO44" s="80"/>
      <c r="AP44" s="48"/>
      <c r="AQ44" s="48"/>
    </row>
    <row r="45" spans="1:43" s="49" customFormat="1" ht="12.75">
      <c r="A45" s="45">
        <f t="shared" si="7"/>
        <v>14</v>
      </c>
      <c r="B45" s="46" t="s">
        <v>51</v>
      </c>
      <c r="C45" s="45">
        <v>109</v>
      </c>
      <c r="D45" s="45" t="s">
        <v>41</v>
      </c>
      <c r="E45" s="29">
        <f t="shared" si="8"/>
        <v>17.400000000000002</v>
      </c>
      <c r="F45" s="29">
        <f t="shared" si="6"/>
        <v>17.400000000000002</v>
      </c>
      <c r="G45" s="45"/>
      <c r="H45" s="29">
        <v>0.012</v>
      </c>
      <c r="I45" s="28">
        <f>H45*1450</f>
        <v>17.400000000000002</v>
      </c>
      <c r="J45" s="219"/>
      <c r="K45" s="29"/>
      <c r="L45" s="41"/>
      <c r="M45" s="41"/>
      <c r="N45" s="41"/>
      <c r="O45" s="219"/>
      <c r="P45" s="29"/>
      <c r="Q45" s="29"/>
      <c r="R45" s="29"/>
      <c r="S45" s="34">
        <v>2</v>
      </c>
      <c r="T45" s="29"/>
      <c r="U45" s="29"/>
      <c r="V45" s="34">
        <v>2</v>
      </c>
      <c r="W45" s="29"/>
      <c r="X45" s="29"/>
      <c r="Y45" s="29"/>
      <c r="Z45" s="29"/>
      <c r="AA45" s="29"/>
      <c r="AB45" s="45"/>
      <c r="AC45" s="29"/>
      <c r="AD45" s="45"/>
      <c r="AE45" s="45"/>
      <c r="AF45" s="29"/>
      <c r="AG45" s="29"/>
      <c r="AH45" s="48"/>
      <c r="AI45" s="47"/>
      <c r="AJ45" s="47">
        <v>1</v>
      </c>
      <c r="AK45" s="48"/>
      <c r="AL45" s="48"/>
      <c r="AM45" s="45"/>
      <c r="AN45" s="48"/>
      <c r="AO45" s="80"/>
      <c r="AP45" s="48"/>
      <c r="AQ45" s="48"/>
    </row>
    <row r="46" spans="1:43" s="49" customFormat="1" ht="12.75">
      <c r="A46" s="45">
        <f t="shared" si="7"/>
        <v>15</v>
      </c>
      <c r="B46" s="46" t="s">
        <v>51</v>
      </c>
      <c r="C46" s="45">
        <v>111</v>
      </c>
      <c r="D46" s="45" t="s">
        <v>41</v>
      </c>
      <c r="E46" s="29">
        <f t="shared" si="8"/>
        <v>0</v>
      </c>
      <c r="F46" s="29">
        <f t="shared" si="6"/>
        <v>0</v>
      </c>
      <c r="G46" s="45"/>
      <c r="H46" s="29"/>
      <c r="I46" s="29"/>
      <c r="J46" s="219"/>
      <c r="K46" s="29"/>
      <c r="L46" s="41"/>
      <c r="M46" s="41"/>
      <c r="N46" s="41"/>
      <c r="O46" s="219"/>
      <c r="P46" s="29"/>
      <c r="Q46" s="29"/>
      <c r="R46" s="29"/>
      <c r="S46" s="34">
        <v>2</v>
      </c>
      <c r="T46" s="29"/>
      <c r="U46" s="29"/>
      <c r="V46" s="34">
        <v>2</v>
      </c>
      <c r="W46" s="29"/>
      <c r="X46" s="29"/>
      <c r="Y46" s="29"/>
      <c r="Z46" s="29"/>
      <c r="AA46" s="29"/>
      <c r="AB46" s="45"/>
      <c r="AC46" s="29"/>
      <c r="AD46" s="45"/>
      <c r="AE46" s="45"/>
      <c r="AF46" s="29"/>
      <c r="AG46" s="29"/>
      <c r="AH46" s="48"/>
      <c r="AI46" s="47"/>
      <c r="AJ46" s="47">
        <v>1</v>
      </c>
      <c r="AK46" s="48"/>
      <c r="AL46" s="48"/>
      <c r="AM46" s="45"/>
      <c r="AN46" s="48"/>
      <c r="AO46" s="80"/>
      <c r="AP46" s="48"/>
      <c r="AQ46" s="48"/>
    </row>
    <row r="47" spans="1:43" s="49" customFormat="1" ht="12.75">
      <c r="A47" s="45">
        <f t="shared" si="7"/>
        <v>16</v>
      </c>
      <c r="B47" s="46" t="s">
        <v>51</v>
      </c>
      <c r="C47" s="45">
        <v>111</v>
      </c>
      <c r="D47" s="45"/>
      <c r="E47" s="29">
        <f t="shared" si="8"/>
        <v>6.603</v>
      </c>
      <c r="F47" s="29">
        <f t="shared" si="6"/>
        <v>6.603</v>
      </c>
      <c r="G47" s="45"/>
      <c r="H47" s="29"/>
      <c r="I47" s="29"/>
      <c r="J47" s="219">
        <v>0.005</v>
      </c>
      <c r="K47" s="28">
        <f>J47*483</f>
        <v>2.415</v>
      </c>
      <c r="L47" s="41"/>
      <c r="M47" s="41"/>
      <c r="N47" s="41"/>
      <c r="O47" s="219">
        <v>0.004</v>
      </c>
      <c r="P47" s="28">
        <f>O47*1047</f>
        <v>4.188</v>
      </c>
      <c r="Q47" s="29"/>
      <c r="R47" s="29"/>
      <c r="S47" s="34">
        <v>2</v>
      </c>
      <c r="T47" s="29"/>
      <c r="U47" s="29"/>
      <c r="V47" s="34">
        <v>11</v>
      </c>
      <c r="W47" s="29"/>
      <c r="X47" s="29"/>
      <c r="Y47" s="29"/>
      <c r="Z47" s="220"/>
      <c r="AA47" s="28"/>
      <c r="AB47" s="45"/>
      <c r="AC47" s="29"/>
      <c r="AD47" s="45"/>
      <c r="AE47" s="45"/>
      <c r="AF47" s="29"/>
      <c r="AG47" s="29"/>
      <c r="AH47" s="48"/>
      <c r="AI47" s="47">
        <v>1</v>
      </c>
      <c r="AJ47" s="47">
        <v>1</v>
      </c>
      <c r="AK47" s="48"/>
      <c r="AL47" s="48"/>
      <c r="AM47" s="45"/>
      <c r="AN47" s="48"/>
      <c r="AO47" s="80"/>
      <c r="AP47" s="48"/>
      <c r="AQ47" s="48"/>
    </row>
    <row r="48" spans="1:43" s="49" customFormat="1" ht="12.75">
      <c r="A48" s="45">
        <f t="shared" si="7"/>
        <v>17</v>
      </c>
      <c r="B48" s="46" t="s">
        <v>51</v>
      </c>
      <c r="C48" s="45">
        <v>113</v>
      </c>
      <c r="D48" s="45"/>
      <c r="E48" s="29">
        <f t="shared" si="8"/>
        <v>0</v>
      </c>
      <c r="F48" s="29">
        <f t="shared" si="6"/>
        <v>0</v>
      </c>
      <c r="G48" s="45"/>
      <c r="H48" s="29"/>
      <c r="I48" s="29"/>
      <c r="J48" s="219"/>
      <c r="K48" s="29"/>
      <c r="L48" s="41"/>
      <c r="M48" s="41"/>
      <c r="N48" s="41"/>
      <c r="O48" s="219"/>
      <c r="P48" s="29"/>
      <c r="Q48" s="29"/>
      <c r="R48" s="29"/>
      <c r="S48" s="34">
        <v>4</v>
      </c>
      <c r="T48" s="29"/>
      <c r="U48" s="29"/>
      <c r="V48" s="34">
        <v>18</v>
      </c>
      <c r="W48" s="29"/>
      <c r="X48" s="29"/>
      <c r="Y48" s="29"/>
      <c r="Z48" s="29"/>
      <c r="AA48" s="29"/>
      <c r="AB48" s="45"/>
      <c r="AC48" s="29"/>
      <c r="AD48" s="45"/>
      <c r="AE48" s="45"/>
      <c r="AF48" s="29"/>
      <c r="AG48" s="29"/>
      <c r="AH48" s="48"/>
      <c r="AI48" s="47">
        <v>1</v>
      </c>
      <c r="AJ48" s="47">
        <v>1</v>
      </c>
      <c r="AK48" s="48"/>
      <c r="AL48" s="48"/>
      <c r="AM48" s="45"/>
      <c r="AN48" s="48"/>
      <c r="AO48" s="80"/>
      <c r="AP48" s="48"/>
      <c r="AQ48" s="48"/>
    </row>
    <row r="49" spans="1:43" s="49" customFormat="1" ht="12.75">
      <c r="A49" s="45">
        <f t="shared" si="7"/>
        <v>18</v>
      </c>
      <c r="B49" s="46" t="s">
        <v>51</v>
      </c>
      <c r="C49" s="45">
        <v>119</v>
      </c>
      <c r="D49" s="45"/>
      <c r="E49" s="29">
        <f t="shared" si="8"/>
        <v>83.76</v>
      </c>
      <c r="F49" s="29">
        <f t="shared" si="6"/>
        <v>83.76</v>
      </c>
      <c r="G49" s="45"/>
      <c r="H49" s="29"/>
      <c r="I49" s="29"/>
      <c r="J49" s="219"/>
      <c r="K49" s="29"/>
      <c r="L49" s="41"/>
      <c r="M49" s="41"/>
      <c r="N49" s="41"/>
      <c r="O49" s="219">
        <v>0.08</v>
      </c>
      <c r="P49" s="28">
        <f>O49*1047</f>
        <v>83.76</v>
      </c>
      <c r="Q49" s="29"/>
      <c r="R49" s="29"/>
      <c r="S49" s="34">
        <v>2</v>
      </c>
      <c r="T49" s="29"/>
      <c r="U49" s="29"/>
      <c r="V49" s="34">
        <v>12</v>
      </c>
      <c r="W49" s="29"/>
      <c r="X49" s="29"/>
      <c r="Y49" s="29"/>
      <c r="Z49" s="29"/>
      <c r="AA49" s="29"/>
      <c r="AB49" s="45"/>
      <c r="AC49" s="29"/>
      <c r="AD49" s="45"/>
      <c r="AE49" s="45"/>
      <c r="AF49" s="29"/>
      <c r="AG49" s="29"/>
      <c r="AH49" s="48"/>
      <c r="AI49" s="47">
        <v>1</v>
      </c>
      <c r="AJ49" s="47">
        <v>6</v>
      </c>
      <c r="AK49" s="48"/>
      <c r="AL49" s="48"/>
      <c r="AM49" s="45"/>
      <c r="AN49" s="48"/>
      <c r="AO49" s="80"/>
      <c r="AP49" s="48"/>
      <c r="AQ49" s="48"/>
    </row>
    <row r="50" spans="1:43" s="49" customFormat="1" ht="12.75">
      <c r="A50" s="45">
        <f t="shared" si="7"/>
        <v>19</v>
      </c>
      <c r="B50" s="46" t="s">
        <v>51</v>
      </c>
      <c r="C50" s="45">
        <v>121</v>
      </c>
      <c r="D50" s="45"/>
      <c r="E50" s="29">
        <f t="shared" si="8"/>
        <v>20.317</v>
      </c>
      <c r="F50" s="29">
        <f t="shared" si="6"/>
        <v>20.317</v>
      </c>
      <c r="G50" s="45"/>
      <c r="H50" s="29"/>
      <c r="I50" s="29"/>
      <c r="J50" s="219">
        <v>0.015</v>
      </c>
      <c r="K50" s="28">
        <f>J50*483</f>
        <v>7.245</v>
      </c>
      <c r="L50" s="41"/>
      <c r="M50" s="41"/>
      <c r="N50" s="41"/>
      <c r="O50" s="219"/>
      <c r="P50" s="29"/>
      <c r="Q50" s="29"/>
      <c r="R50" s="29"/>
      <c r="S50" s="34">
        <v>8</v>
      </c>
      <c r="T50" s="29"/>
      <c r="U50" s="29"/>
      <c r="V50" s="34">
        <v>12</v>
      </c>
      <c r="W50" s="34"/>
      <c r="X50" s="29"/>
      <c r="Y50" s="29"/>
      <c r="Z50" s="29"/>
      <c r="AA50" s="29"/>
      <c r="AB50" s="59" t="s">
        <v>143</v>
      </c>
      <c r="AC50" s="29">
        <v>13.072</v>
      </c>
      <c r="AD50" s="45"/>
      <c r="AE50" s="45"/>
      <c r="AF50" s="29"/>
      <c r="AG50" s="29"/>
      <c r="AH50" s="48"/>
      <c r="AI50" s="47">
        <v>2</v>
      </c>
      <c r="AJ50" s="47">
        <v>2</v>
      </c>
      <c r="AK50" s="48"/>
      <c r="AL50" s="48"/>
      <c r="AM50" s="45"/>
      <c r="AN50" s="48"/>
      <c r="AO50" s="80"/>
      <c r="AP50" s="48"/>
      <c r="AQ50" s="48"/>
    </row>
    <row r="51" spans="1:43" s="49" customFormat="1" ht="12.75">
      <c r="A51" s="45">
        <f t="shared" si="7"/>
        <v>20</v>
      </c>
      <c r="B51" s="46" t="s">
        <v>51</v>
      </c>
      <c r="C51" s="45">
        <v>123</v>
      </c>
      <c r="D51" s="45"/>
      <c r="E51" s="29">
        <f t="shared" si="8"/>
        <v>0</v>
      </c>
      <c r="F51" s="29">
        <f t="shared" si="6"/>
        <v>0</v>
      </c>
      <c r="G51" s="45"/>
      <c r="H51" s="29"/>
      <c r="I51" s="29"/>
      <c r="J51" s="219"/>
      <c r="K51" s="29"/>
      <c r="L51" s="41"/>
      <c r="M51" s="41"/>
      <c r="N51" s="41"/>
      <c r="O51" s="219"/>
      <c r="P51" s="29"/>
      <c r="Q51" s="29"/>
      <c r="R51" s="29"/>
      <c r="S51" s="34"/>
      <c r="T51" s="29"/>
      <c r="U51" s="29"/>
      <c r="V51" s="34"/>
      <c r="W51" s="29"/>
      <c r="X51" s="29"/>
      <c r="Y51" s="29"/>
      <c r="Z51" s="29"/>
      <c r="AA51" s="29"/>
      <c r="AB51" s="45"/>
      <c r="AC51" s="29"/>
      <c r="AD51" s="45"/>
      <c r="AE51" s="45"/>
      <c r="AF51" s="29"/>
      <c r="AG51" s="29"/>
      <c r="AH51" s="48"/>
      <c r="AI51" s="47"/>
      <c r="AJ51" s="47">
        <v>1</v>
      </c>
      <c r="AK51" s="48"/>
      <c r="AL51" s="48"/>
      <c r="AM51" s="45"/>
      <c r="AN51" s="48"/>
      <c r="AO51" s="80"/>
      <c r="AP51" s="48"/>
      <c r="AQ51" s="48"/>
    </row>
    <row r="52" spans="1:43" s="49" customFormat="1" ht="12.75">
      <c r="A52" s="50">
        <f>A51</f>
        <v>20</v>
      </c>
      <c r="B52" s="235" t="s">
        <v>120</v>
      </c>
      <c r="C52" s="262">
        <f>6*151.305+233</f>
        <v>1140.83</v>
      </c>
      <c r="D52" s="262"/>
      <c r="E52" s="23">
        <f>SUM(E32:E51)</f>
        <v>258.495</v>
      </c>
      <c r="F52" s="50">
        <f>SUM(F32:F51)</f>
        <v>258.495</v>
      </c>
      <c r="G52" s="50">
        <f>SUM(G32:G51)</f>
        <v>0</v>
      </c>
      <c r="H52" s="50">
        <f>SUM(H32:H51)</f>
        <v>0.032</v>
      </c>
      <c r="I52" s="23">
        <f>SUM(I32:I51)</f>
        <v>26.900000000000002</v>
      </c>
      <c r="J52" s="221">
        <f aca="true" t="shared" si="9" ref="J52:AN52">SUM(J32:J51)</f>
        <v>0.040999999999999995</v>
      </c>
      <c r="K52" s="23">
        <f t="shared" si="9"/>
        <v>19.803</v>
      </c>
      <c r="L52" s="50">
        <f t="shared" si="9"/>
        <v>0</v>
      </c>
      <c r="M52" s="50"/>
      <c r="N52" s="50">
        <f t="shared" si="9"/>
        <v>0</v>
      </c>
      <c r="O52" s="221">
        <f t="shared" si="9"/>
        <v>0.094</v>
      </c>
      <c r="P52" s="35">
        <f t="shared" si="9"/>
        <v>98.418</v>
      </c>
      <c r="Q52" s="50">
        <f t="shared" si="9"/>
        <v>0</v>
      </c>
      <c r="R52" s="50">
        <f t="shared" si="9"/>
        <v>0</v>
      </c>
      <c r="S52" s="50">
        <f t="shared" si="9"/>
        <v>60</v>
      </c>
      <c r="T52" s="50">
        <f t="shared" si="9"/>
        <v>0</v>
      </c>
      <c r="U52" s="50">
        <f t="shared" si="9"/>
        <v>0</v>
      </c>
      <c r="V52" s="50">
        <f t="shared" si="9"/>
        <v>198</v>
      </c>
      <c r="W52" s="50">
        <f t="shared" si="9"/>
        <v>0</v>
      </c>
      <c r="X52" s="50">
        <f t="shared" si="9"/>
        <v>0</v>
      </c>
      <c r="Y52" s="50">
        <f t="shared" si="9"/>
        <v>0</v>
      </c>
      <c r="Z52" s="50">
        <f t="shared" si="9"/>
        <v>0.01</v>
      </c>
      <c r="AA52" s="35">
        <f t="shared" si="9"/>
        <v>21.528</v>
      </c>
      <c r="AB52" s="35">
        <v>0.37</v>
      </c>
      <c r="AC52" s="35">
        <f t="shared" si="9"/>
        <v>80.03800000000001</v>
      </c>
      <c r="AD52" s="50">
        <f t="shared" si="9"/>
        <v>0</v>
      </c>
      <c r="AE52" s="35">
        <v>11.808</v>
      </c>
      <c r="AF52" s="50">
        <f t="shared" si="9"/>
        <v>0</v>
      </c>
      <c r="AG52" s="35">
        <f t="shared" si="9"/>
        <v>0</v>
      </c>
      <c r="AH52" s="50">
        <f t="shared" si="9"/>
        <v>0</v>
      </c>
      <c r="AI52" s="50">
        <f t="shared" si="9"/>
        <v>20</v>
      </c>
      <c r="AJ52" s="50">
        <f t="shared" si="9"/>
        <v>61</v>
      </c>
      <c r="AK52" s="50">
        <f t="shared" si="9"/>
        <v>0</v>
      </c>
      <c r="AL52" s="50">
        <f t="shared" si="9"/>
        <v>0</v>
      </c>
      <c r="AM52" s="50">
        <f t="shared" si="9"/>
        <v>0</v>
      </c>
      <c r="AN52" s="50">
        <f t="shared" si="9"/>
        <v>0</v>
      </c>
      <c r="AO52" s="80"/>
      <c r="AP52" s="48"/>
      <c r="AQ52" s="48"/>
    </row>
    <row r="53" spans="1:43" ht="12" customHeight="1">
      <c r="A53" s="26">
        <v>1</v>
      </c>
      <c r="B53" s="27" t="s">
        <v>44</v>
      </c>
      <c r="C53" s="34">
        <v>44</v>
      </c>
      <c r="D53" s="26"/>
      <c r="E53" s="28">
        <f aca="true" t="shared" si="10" ref="E53:E79">I53+K53+P53+X53+AA53+AC53+AE53+AG53</f>
        <v>0</v>
      </c>
      <c r="F53" s="28">
        <f>E53-G53</f>
        <v>0</v>
      </c>
      <c r="G53" s="28"/>
      <c r="H53" s="29"/>
      <c r="I53" s="28"/>
      <c r="J53" s="219"/>
      <c r="K53" s="29"/>
      <c r="L53" s="41"/>
      <c r="M53" s="41"/>
      <c r="N53" s="41"/>
      <c r="O53" s="219"/>
      <c r="P53" s="28"/>
      <c r="Q53" s="26"/>
      <c r="R53" s="26"/>
      <c r="S53" s="26">
        <v>36</v>
      </c>
      <c r="T53" s="26"/>
      <c r="U53" s="26"/>
      <c r="V53" s="26"/>
      <c r="W53" s="29"/>
      <c r="X53" s="28"/>
      <c r="Y53" s="26"/>
      <c r="Z53" s="29"/>
      <c r="AA53" s="28"/>
      <c r="AB53" s="29"/>
      <c r="AC53" s="28"/>
      <c r="AD53" s="29"/>
      <c r="AE53" s="28"/>
      <c r="AF53" s="29"/>
      <c r="AG53" s="31"/>
      <c r="AH53" s="24"/>
      <c r="AI53" s="42">
        <v>1</v>
      </c>
      <c r="AJ53" s="43">
        <v>1</v>
      </c>
      <c r="AK53" s="30"/>
      <c r="AL53" s="32"/>
      <c r="AM53" s="32"/>
      <c r="AN53" s="32"/>
      <c r="AO53" s="79" t="s">
        <v>58</v>
      </c>
      <c r="AP53" s="32" t="s">
        <v>59</v>
      </c>
      <c r="AQ53" s="32"/>
    </row>
    <row r="54" spans="1:43" ht="12" customHeight="1">
      <c r="A54" s="26">
        <f aca="true" t="shared" si="11" ref="A54:A92">A53+1</f>
        <v>2</v>
      </c>
      <c r="B54" s="27" t="s">
        <v>44</v>
      </c>
      <c r="C54" s="34">
        <v>46</v>
      </c>
      <c r="D54" s="26"/>
      <c r="E54" s="28">
        <f t="shared" si="10"/>
        <v>1.54975</v>
      </c>
      <c r="F54" s="28">
        <f>E54-G54</f>
        <v>1.54975</v>
      </c>
      <c r="G54" s="28"/>
      <c r="H54" s="29"/>
      <c r="I54" s="28"/>
      <c r="J54" s="219">
        <f>0.0005+0.003</f>
        <v>0.0035</v>
      </c>
      <c r="K54" s="29">
        <f>J54*201.5+3*0.2815</f>
        <v>1.54975</v>
      </c>
      <c r="L54" s="41"/>
      <c r="M54" s="41"/>
      <c r="N54" s="41"/>
      <c r="O54" s="219"/>
      <c r="P54" s="28"/>
      <c r="Q54" s="26"/>
      <c r="R54" s="26"/>
      <c r="S54" s="26">
        <v>2</v>
      </c>
      <c r="T54" s="26"/>
      <c r="U54" s="26"/>
      <c r="V54" s="26">
        <v>3.4</v>
      </c>
      <c r="W54" s="29"/>
      <c r="X54" s="28"/>
      <c r="Y54" s="26"/>
      <c r="Z54" s="29"/>
      <c r="AA54" s="28"/>
      <c r="AB54" s="29"/>
      <c r="AC54" s="28"/>
      <c r="AD54" s="29"/>
      <c r="AE54" s="28"/>
      <c r="AF54" s="29"/>
      <c r="AG54" s="31"/>
      <c r="AH54" s="24"/>
      <c r="AI54" s="42"/>
      <c r="AJ54" s="43">
        <v>1</v>
      </c>
      <c r="AK54" s="30"/>
      <c r="AL54" s="32"/>
      <c r="AM54" s="32"/>
      <c r="AN54" s="32"/>
      <c r="AO54" s="79" t="s">
        <v>60</v>
      </c>
      <c r="AP54" s="32" t="s">
        <v>46</v>
      </c>
      <c r="AQ54" s="32"/>
    </row>
    <row r="55" spans="1:43" ht="12" customHeight="1">
      <c r="A55" s="26">
        <f t="shared" si="11"/>
        <v>3</v>
      </c>
      <c r="B55" s="27" t="s">
        <v>44</v>
      </c>
      <c r="C55" s="34">
        <v>48</v>
      </c>
      <c r="D55" s="26"/>
      <c r="E55" s="28">
        <f t="shared" si="10"/>
        <v>0</v>
      </c>
      <c r="F55" s="28">
        <f>E55-G55</f>
        <v>0</v>
      </c>
      <c r="G55" s="28"/>
      <c r="H55" s="29"/>
      <c r="I55" s="28"/>
      <c r="J55" s="219"/>
      <c r="K55" s="29"/>
      <c r="L55" s="41"/>
      <c r="M55" s="41"/>
      <c r="N55" s="41"/>
      <c r="O55" s="219"/>
      <c r="P55" s="28"/>
      <c r="Q55" s="26"/>
      <c r="R55" s="26"/>
      <c r="S55" s="26">
        <v>1</v>
      </c>
      <c r="T55" s="26"/>
      <c r="U55" s="26"/>
      <c r="V55" s="26">
        <v>2.2</v>
      </c>
      <c r="W55" s="29"/>
      <c r="X55" s="28"/>
      <c r="Y55" s="26"/>
      <c r="Z55" s="29"/>
      <c r="AA55" s="28"/>
      <c r="AB55" s="29"/>
      <c r="AC55" s="28"/>
      <c r="AD55" s="29"/>
      <c r="AE55" s="28"/>
      <c r="AF55" s="29"/>
      <c r="AG55" s="31"/>
      <c r="AH55" s="24"/>
      <c r="AI55" s="42"/>
      <c r="AJ55" s="43">
        <v>1</v>
      </c>
      <c r="AK55" s="30"/>
      <c r="AL55" s="32"/>
      <c r="AM55" s="32"/>
      <c r="AN55" s="32"/>
      <c r="AO55" s="79" t="s">
        <v>61</v>
      </c>
      <c r="AP55" s="32" t="s">
        <v>61</v>
      </c>
      <c r="AQ55" s="32"/>
    </row>
    <row r="56" spans="1:43" ht="12" customHeight="1">
      <c r="A56" s="26">
        <f t="shared" si="11"/>
        <v>4</v>
      </c>
      <c r="B56" s="27" t="s">
        <v>44</v>
      </c>
      <c r="C56" s="34">
        <v>50</v>
      </c>
      <c r="D56" s="26"/>
      <c r="E56" s="28">
        <f t="shared" si="10"/>
        <v>0</v>
      </c>
      <c r="F56" s="28">
        <f>E56-G56</f>
        <v>0</v>
      </c>
      <c r="G56" s="28"/>
      <c r="H56" s="29"/>
      <c r="I56" s="28"/>
      <c r="J56" s="219"/>
      <c r="K56" s="29"/>
      <c r="L56" s="41"/>
      <c r="M56" s="41"/>
      <c r="N56" s="41"/>
      <c r="O56" s="219"/>
      <c r="P56" s="28"/>
      <c r="Q56" s="26"/>
      <c r="R56" s="26"/>
      <c r="S56" s="26">
        <v>1</v>
      </c>
      <c r="T56" s="26"/>
      <c r="U56" s="26"/>
      <c r="V56" s="26">
        <v>2.2</v>
      </c>
      <c r="W56" s="29"/>
      <c r="X56" s="28"/>
      <c r="Y56" s="26"/>
      <c r="Z56" s="29"/>
      <c r="AA56" s="28"/>
      <c r="AB56" s="29"/>
      <c r="AC56" s="28"/>
      <c r="AD56" s="29"/>
      <c r="AE56" s="28"/>
      <c r="AF56" s="29"/>
      <c r="AG56" s="31"/>
      <c r="AH56" s="24"/>
      <c r="AI56" s="42"/>
      <c r="AJ56" s="43">
        <v>1</v>
      </c>
      <c r="AK56" s="30"/>
      <c r="AL56" s="32"/>
      <c r="AM56" s="32"/>
      <c r="AN56" s="32"/>
      <c r="AO56" s="79"/>
      <c r="AP56" s="32"/>
      <c r="AQ56" s="32"/>
    </row>
    <row r="57" spans="1:43" ht="12" customHeight="1">
      <c r="A57" s="26">
        <f t="shared" si="11"/>
        <v>5</v>
      </c>
      <c r="B57" s="27" t="s">
        <v>44</v>
      </c>
      <c r="C57" s="34">
        <v>54</v>
      </c>
      <c r="D57" s="26"/>
      <c r="E57" s="28">
        <f t="shared" si="10"/>
        <v>0</v>
      </c>
      <c r="F57" s="28">
        <f aca="true" t="shared" si="12" ref="F57:F92">E57-G57</f>
        <v>0</v>
      </c>
      <c r="G57" s="28"/>
      <c r="H57" s="29"/>
      <c r="I57" s="28"/>
      <c r="J57" s="219"/>
      <c r="K57" s="29"/>
      <c r="L57" s="41"/>
      <c r="M57" s="41"/>
      <c r="N57" s="41"/>
      <c r="O57" s="219"/>
      <c r="P57" s="28"/>
      <c r="Q57" s="26"/>
      <c r="R57" s="26"/>
      <c r="S57" s="26">
        <v>1</v>
      </c>
      <c r="T57" s="26"/>
      <c r="U57" s="26"/>
      <c r="V57" s="26">
        <v>3.4</v>
      </c>
      <c r="W57" s="29"/>
      <c r="X57" s="28"/>
      <c r="Y57" s="26"/>
      <c r="Z57" s="29"/>
      <c r="AA57" s="28"/>
      <c r="AB57" s="29"/>
      <c r="AC57" s="28"/>
      <c r="AD57" s="29"/>
      <c r="AE57" s="28"/>
      <c r="AF57" s="29"/>
      <c r="AG57" s="31"/>
      <c r="AH57" s="24"/>
      <c r="AI57" s="42"/>
      <c r="AJ57" s="43">
        <v>1</v>
      </c>
      <c r="AK57" s="30"/>
      <c r="AL57" s="32"/>
      <c r="AM57" s="32"/>
      <c r="AN57" s="32"/>
      <c r="AO57" s="79"/>
      <c r="AP57" s="32"/>
      <c r="AQ57" s="32"/>
    </row>
    <row r="58" spans="1:43" ht="12" customHeight="1">
      <c r="A58" s="26">
        <f t="shared" si="11"/>
        <v>6</v>
      </c>
      <c r="B58" s="27" t="s">
        <v>44</v>
      </c>
      <c r="C58" s="34">
        <v>56</v>
      </c>
      <c r="D58" s="26"/>
      <c r="E58" s="28">
        <f t="shared" si="10"/>
        <v>0</v>
      </c>
      <c r="F58" s="28">
        <f t="shared" si="12"/>
        <v>0</v>
      </c>
      <c r="G58" s="28"/>
      <c r="H58" s="29"/>
      <c r="I58" s="28"/>
      <c r="J58" s="219"/>
      <c r="K58" s="29"/>
      <c r="L58" s="41"/>
      <c r="M58" s="41"/>
      <c r="N58" s="41"/>
      <c r="O58" s="219"/>
      <c r="P58" s="28"/>
      <c r="Q58" s="26"/>
      <c r="R58" s="26"/>
      <c r="S58" s="26"/>
      <c r="T58" s="26"/>
      <c r="U58" s="26"/>
      <c r="V58" s="26"/>
      <c r="W58" s="29"/>
      <c r="X58" s="28"/>
      <c r="Y58" s="26"/>
      <c r="Z58" s="29"/>
      <c r="AA58" s="28"/>
      <c r="AB58" s="29"/>
      <c r="AC58" s="28"/>
      <c r="AD58" s="29"/>
      <c r="AE58" s="28"/>
      <c r="AF58" s="29"/>
      <c r="AG58" s="31"/>
      <c r="AH58" s="24"/>
      <c r="AI58" s="42"/>
      <c r="AJ58" s="43">
        <v>1</v>
      </c>
      <c r="AK58" s="30"/>
      <c r="AL58" s="32"/>
      <c r="AM58" s="32"/>
      <c r="AN58" s="32"/>
      <c r="AO58" s="79"/>
      <c r="AP58" s="32"/>
      <c r="AQ58" s="32"/>
    </row>
    <row r="59" spans="1:43" ht="12" customHeight="1">
      <c r="A59" s="26">
        <f t="shared" si="11"/>
        <v>7</v>
      </c>
      <c r="B59" s="27" t="s">
        <v>62</v>
      </c>
      <c r="C59" s="34">
        <v>58</v>
      </c>
      <c r="D59" s="26"/>
      <c r="E59" s="28">
        <f t="shared" si="10"/>
        <v>69.1805</v>
      </c>
      <c r="F59" s="28">
        <f t="shared" si="12"/>
        <v>69.1805</v>
      </c>
      <c r="G59" s="28"/>
      <c r="H59" s="29">
        <v>0.11</v>
      </c>
      <c r="I59" s="28">
        <f>H59*475</f>
        <v>52.25</v>
      </c>
      <c r="J59" s="219">
        <f>0.0328+0.0054</f>
        <v>0.038200000000000005</v>
      </c>
      <c r="K59" s="29">
        <f>J59*201.5+32.8*0.2815</f>
        <v>16.9305</v>
      </c>
      <c r="L59" s="41"/>
      <c r="M59" s="41"/>
      <c r="N59" s="41"/>
      <c r="O59" s="219"/>
      <c r="P59" s="28"/>
      <c r="Q59" s="26"/>
      <c r="R59" s="26"/>
      <c r="S59" s="26"/>
      <c r="T59" s="26"/>
      <c r="U59" s="26"/>
      <c r="V59" s="26"/>
      <c r="W59" s="29"/>
      <c r="X59" s="28"/>
      <c r="Y59" s="26"/>
      <c r="Z59" s="29"/>
      <c r="AA59" s="28"/>
      <c r="AB59" s="29"/>
      <c r="AC59" s="28"/>
      <c r="AD59" s="29"/>
      <c r="AE59" s="28"/>
      <c r="AF59" s="29"/>
      <c r="AG59" s="31"/>
      <c r="AH59" s="24"/>
      <c r="AI59" s="42"/>
      <c r="AJ59" s="43">
        <v>1</v>
      </c>
      <c r="AK59" s="30"/>
      <c r="AL59" s="32"/>
      <c r="AM59" s="32"/>
      <c r="AN59" s="32"/>
      <c r="AO59" s="79"/>
      <c r="AP59" s="32"/>
      <c r="AQ59" s="32"/>
    </row>
    <row r="60" spans="1:43" ht="12" customHeight="1">
      <c r="A60" s="26">
        <f t="shared" si="11"/>
        <v>8</v>
      </c>
      <c r="B60" s="27" t="s">
        <v>63</v>
      </c>
      <c r="C60" s="34">
        <v>60</v>
      </c>
      <c r="D60" s="26"/>
      <c r="E60" s="28">
        <f t="shared" si="10"/>
        <v>5.2164</v>
      </c>
      <c r="F60" s="28">
        <f t="shared" si="12"/>
        <v>5.2164</v>
      </c>
      <c r="G60" s="28"/>
      <c r="H60" s="29"/>
      <c r="I60" s="28"/>
      <c r="J60" s="219">
        <v>0.0108</v>
      </c>
      <c r="K60" s="29">
        <f>J60*201.5+10.8*0.2815</f>
        <v>5.2164</v>
      </c>
      <c r="L60" s="41"/>
      <c r="M60" s="41"/>
      <c r="N60" s="41"/>
      <c r="O60" s="219"/>
      <c r="P60" s="28"/>
      <c r="Q60" s="26"/>
      <c r="R60" s="26"/>
      <c r="S60" s="26"/>
      <c r="T60" s="26"/>
      <c r="U60" s="26"/>
      <c r="V60" s="26"/>
      <c r="W60" s="29"/>
      <c r="X60" s="28"/>
      <c r="Y60" s="26"/>
      <c r="Z60" s="29"/>
      <c r="AA60" s="28"/>
      <c r="AB60" s="29"/>
      <c r="AC60" s="28"/>
      <c r="AD60" s="29"/>
      <c r="AE60" s="28"/>
      <c r="AF60" s="29"/>
      <c r="AG60" s="31"/>
      <c r="AH60" s="24"/>
      <c r="AI60" s="42">
        <v>1</v>
      </c>
      <c r="AJ60" s="43">
        <v>3</v>
      </c>
      <c r="AK60" s="30"/>
      <c r="AL60" s="32"/>
      <c r="AM60" s="32"/>
      <c r="AN60" s="32"/>
      <c r="AO60" s="79"/>
      <c r="AP60" s="32"/>
      <c r="AQ60" s="32"/>
    </row>
    <row r="61" spans="1:43" ht="12" customHeight="1">
      <c r="A61" s="26">
        <f t="shared" si="11"/>
        <v>9</v>
      </c>
      <c r="B61" s="27" t="s">
        <v>63</v>
      </c>
      <c r="C61" s="34">
        <v>62</v>
      </c>
      <c r="D61" s="26"/>
      <c r="E61" s="28">
        <f t="shared" si="10"/>
        <v>0</v>
      </c>
      <c r="F61" s="28">
        <f t="shared" si="12"/>
        <v>0</v>
      </c>
      <c r="G61" s="28"/>
      <c r="H61" s="29"/>
      <c r="I61" s="28"/>
      <c r="J61" s="219"/>
      <c r="K61" s="29"/>
      <c r="L61" s="41"/>
      <c r="M61" s="41"/>
      <c r="N61" s="41"/>
      <c r="O61" s="219"/>
      <c r="P61" s="28"/>
      <c r="Q61" s="26"/>
      <c r="R61" s="26"/>
      <c r="S61" s="26"/>
      <c r="T61" s="26"/>
      <c r="U61" s="26"/>
      <c r="V61" s="26"/>
      <c r="W61" s="29"/>
      <c r="X61" s="28"/>
      <c r="Y61" s="26"/>
      <c r="Z61" s="29"/>
      <c r="AA61" s="28"/>
      <c r="AB61" s="29"/>
      <c r="AC61" s="28"/>
      <c r="AD61" s="29"/>
      <c r="AE61" s="28"/>
      <c r="AF61" s="29"/>
      <c r="AG61" s="31"/>
      <c r="AH61" s="24"/>
      <c r="AI61" s="42">
        <v>1</v>
      </c>
      <c r="AJ61" s="43">
        <v>3</v>
      </c>
      <c r="AK61" s="30"/>
      <c r="AL61" s="32"/>
      <c r="AM61" s="32"/>
      <c r="AN61" s="32"/>
      <c r="AO61" s="79"/>
      <c r="AP61" s="32"/>
      <c r="AQ61" s="32"/>
    </row>
    <row r="62" spans="1:43" ht="12" customHeight="1">
      <c r="A62" s="26">
        <f t="shared" si="11"/>
        <v>10</v>
      </c>
      <c r="B62" s="27" t="s">
        <v>64</v>
      </c>
      <c r="C62" s="26">
        <v>3</v>
      </c>
      <c r="D62" s="26"/>
      <c r="E62" s="28">
        <f t="shared" si="10"/>
        <v>0</v>
      </c>
      <c r="F62" s="28">
        <f t="shared" si="12"/>
        <v>0</v>
      </c>
      <c r="G62" s="28"/>
      <c r="H62" s="29"/>
      <c r="I62" s="28"/>
      <c r="J62" s="219"/>
      <c r="K62" s="29"/>
      <c r="L62" s="41"/>
      <c r="M62" s="41"/>
      <c r="N62" s="41"/>
      <c r="O62" s="219"/>
      <c r="P62" s="28"/>
      <c r="Q62" s="26"/>
      <c r="R62" s="26"/>
      <c r="S62" s="26">
        <v>5</v>
      </c>
      <c r="T62" s="26"/>
      <c r="U62" s="26"/>
      <c r="V62" s="26">
        <v>5.6</v>
      </c>
      <c r="W62" s="29"/>
      <c r="X62" s="28"/>
      <c r="Y62" s="26"/>
      <c r="Z62" s="29"/>
      <c r="AA62" s="28"/>
      <c r="AB62" s="29"/>
      <c r="AC62" s="28"/>
      <c r="AD62" s="29"/>
      <c r="AE62" s="28"/>
      <c r="AF62" s="29"/>
      <c r="AG62" s="31"/>
      <c r="AH62" s="24"/>
      <c r="AI62" s="42"/>
      <c r="AJ62" s="43">
        <v>5</v>
      </c>
      <c r="AK62" s="30"/>
      <c r="AL62" s="32"/>
      <c r="AM62" s="32"/>
      <c r="AN62" s="32"/>
      <c r="AO62" s="79"/>
      <c r="AP62" s="32"/>
      <c r="AQ62" s="32"/>
    </row>
    <row r="63" spans="1:43" ht="12" customHeight="1">
      <c r="A63" s="26">
        <f t="shared" si="11"/>
        <v>11</v>
      </c>
      <c r="B63" s="27" t="s">
        <v>64</v>
      </c>
      <c r="C63" s="26">
        <v>4</v>
      </c>
      <c r="D63" s="26"/>
      <c r="E63" s="28">
        <f t="shared" si="10"/>
        <v>0.6045</v>
      </c>
      <c r="F63" s="28">
        <f t="shared" si="12"/>
        <v>0.6045</v>
      </c>
      <c r="G63" s="28"/>
      <c r="H63" s="29"/>
      <c r="I63" s="28"/>
      <c r="J63" s="219">
        <v>0.003</v>
      </c>
      <c r="K63" s="29">
        <f>J63*201.5</f>
        <v>0.6045</v>
      </c>
      <c r="L63" s="41"/>
      <c r="M63" s="41"/>
      <c r="N63" s="41"/>
      <c r="O63" s="219"/>
      <c r="P63" s="28"/>
      <c r="Q63" s="26"/>
      <c r="R63" s="26"/>
      <c r="S63" s="26">
        <v>10</v>
      </c>
      <c r="T63" s="26"/>
      <c r="U63" s="26"/>
      <c r="V63" s="26">
        <v>11.2</v>
      </c>
      <c r="W63" s="29"/>
      <c r="X63" s="28"/>
      <c r="Y63" s="26"/>
      <c r="Z63" s="29"/>
      <c r="AA63" s="28"/>
      <c r="AB63" s="29"/>
      <c r="AC63" s="28"/>
      <c r="AD63" s="29"/>
      <c r="AE63" s="28"/>
      <c r="AF63" s="29"/>
      <c r="AG63" s="31"/>
      <c r="AH63" s="24"/>
      <c r="AI63" s="42"/>
      <c r="AJ63" s="43">
        <v>5</v>
      </c>
      <c r="AK63" s="30"/>
      <c r="AL63" s="32"/>
      <c r="AM63" s="32"/>
      <c r="AN63" s="32"/>
      <c r="AO63" s="79"/>
      <c r="AP63" s="32"/>
      <c r="AQ63" s="32"/>
    </row>
    <row r="64" spans="1:43" ht="12" customHeight="1">
      <c r="A64" s="26">
        <f t="shared" si="11"/>
        <v>12</v>
      </c>
      <c r="B64" s="27" t="s">
        <v>64</v>
      </c>
      <c r="C64" s="26">
        <v>10</v>
      </c>
      <c r="D64" s="26"/>
      <c r="E64" s="28">
        <f t="shared" si="10"/>
        <v>0</v>
      </c>
      <c r="F64" s="28">
        <f t="shared" si="12"/>
        <v>0</v>
      </c>
      <c r="G64" s="28"/>
      <c r="H64" s="29"/>
      <c r="I64" s="28"/>
      <c r="J64" s="219"/>
      <c r="K64" s="29"/>
      <c r="L64" s="41"/>
      <c r="M64" s="41"/>
      <c r="N64" s="41"/>
      <c r="O64" s="219"/>
      <c r="P64" s="28"/>
      <c r="Q64" s="26"/>
      <c r="R64" s="26"/>
      <c r="S64" s="26">
        <v>8</v>
      </c>
      <c r="T64" s="26"/>
      <c r="U64" s="26"/>
      <c r="V64" s="26">
        <v>10</v>
      </c>
      <c r="W64" s="29"/>
      <c r="X64" s="28"/>
      <c r="Y64" s="26"/>
      <c r="Z64" s="29"/>
      <c r="AA64" s="28"/>
      <c r="AB64" s="29"/>
      <c r="AC64" s="28"/>
      <c r="AD64" s="29"/>
      <c r="AE64" s="28"/>
      <c r="AF64" s="29"/>
      <c r="AG64" s="31"/>
      <c r="AH64" s="24"/>
      <c r="AI64" s="42"/>
      <c r="AJ64" s="43">
        <v>4</v>
      </c>
      <c r="AK64" s="30"/>
      <c r="AL64" s="32"/>
      <c r="AM64" s="32"/>
      <c r="AN64" s="32"/>
      <c r="AO64" s="79"/>
      <c r="AP64" s="32"/>
      <c r="AQ64" s="32"/>
    </row>
    <row r="65" spans="1:43" ht="12" customHeight="1">
      <c r="A65" s="26">
        <f t="shared" si="11"/>
        <v>13</v>
      </c>
      <c r="B65" s="27" t="s">
        <v>64</v>
      </c>
      <c r="C65" s="26">
        <v>12</v>
      </c>
      <c r="D65" s="26"/>
      <c r="E65" s="28">
        <f t="shared" si="10"/>
        <v>4.5942</v>
      </c>
      <c r="F65" s="28">
        <f t="shared" si="12"/>
        <v>4.5942</v>
      </c>
      <c r="G65" s="28"/>
      <c r="H65" s="29"/>
      <c r="I65" s="28"/>
      <c r="J65" s="219">
        <v>0.0228</v>
      </c>
      <c r="K65" s="29">
        <f>J65*201.5</f>
        <v>4.5942</v>
      </c>
      <c r="L65" s="41"/>
      <c r="M65" s="41"/>
      <c r="N65" s="41"/>
      <c r="O65" s="219"/>
      <c r="P65" s="28"/>
      <c r="Q65" s="26"/>
      <c r="R65" s="26"/>
      <c r="S65" s="26"/>
      <c r="T65" s="26"/>
      <c r="U65" s="26"/>
      <c r="V65" s="26"/>
      <c r="W65" s="29"/>
      <c r="X65" s="28"/>
      <c r="Y65" s="26"/>
      <c r="Z65" s="29"/>
      <c r="AA65" s="28"/>
      <c r="AB65" s="29"/>
      <c r="AC65" s="28"/>
      <c r="AD65" s="29"/>
      <c r="AE65" s="28"/>
      <c r="AF65" s="29"/>
      <c r="AG65" s="31"/>
      <c r="AH65" s="24"/>
      <c r="AI65" s="42"/>
      <c r="AJ65" s="43">
        <v>5</v>
      </c>
      <c r="AK65" s="30"/>
      <c r="AL65" s="32"/>
      <c r="AM65" s="32"/>
      <c r="AN65" s="32"/>
      <c r="AO65" s="79"/>
      <c r="AP65" s="32"/>
      <c r="AQ65" s="32"/>
    </row>
    <row r="66" spans="1:43" ht="12" customHeight="1">
      <c r="A66" s="26">
        <f t="shared" si="11"/>
        <v>14</v>
      </c>
      <c r="B66" s="27" t="s">
        <v>64</v>
      </c>
      <c r="C66" s="26">
        <v>16</v>
      </c>
      <c r="D66" s="26"/>
      <c r="E66" s="28">
        <f t="shared" si="10"/>
        <v>9.0975</v>
      </c>
      <c r="F66" s="28">
        <f t="shared" si="12"/>
        <v>9.0975</v>
      </c>
      <c r="G66" s="28"/>
      <c r="H66" s="29"/>
      <c r="I66" s="28"/>
      <c r="J66" s="219">
        <v>0.0145</v>
      </c>
      <c r="K66" s="29">
        <f>J66*483</f>
        <v>7.003500000000001</v>
      </c>
      <c r="L66" s="41"/>
      <c r="M66" s="41"/>
      <c r="N66" s="41"/>
      <c r="O66" s="219">
        <v>0.002</v>
      </c>
      <c r="P66" s="28">
        <f>O66*1047</f>
        <v>2.094</v>
      </c>
      <c r="Q66" s="26"/>
      <c r="R66" s="26"/>
      <c r="S66" s="26"/>
      <c r="T66" s="26"/>
      <c r="U66" s="26"/>
      <c r="V66" s="26"/>
      <c r="W66" s="29"/>
      <c r="X66" s="28"/>
      <c r="Y66" s="26"/>
      <c r="Z66" s="29"/>
      <c r="AA66" s="28"/>
      <c r="AB66" s="29"/>
      <c r="AC66" s="28"/>
      <c r="AD66" s="29"/>
      <c r="AE66" s="28"/>
      <c r="AF66" s="29"/>
      <c r="AG66" s="31"/>
      <c r="AH66" s="24"/>
      <c r="AI66" s="42"/>
      <c r="AJ66" s="43">
        <v>3</v>
      </c>
      <c r="AK66" s="30"/>
      <c r="AL66" s="32"/>
      <c r="AM66" s="32"/>
      <c r="AN66" s="32"/>
      <c r="AO66" s="79"/>
      <c r="AP66" s="32"/>
      <c r="AQ66" s="32"/>
    </row>
    <row r="67" spans="1:43" ht="12" customHeight="1">
      <c r="A67" s="26">
        <f t="shared" si="11"/>
        <v>15</v>
      </c>
      <c r="B67" s="27" t="s">
        <v>64</v>
      </c>
      <c r="C67" s="26">
        <v>18</v>
      </c>
      <c r="D67" s="26"/>
      <c r="E67" s="28">
        <f t="shared" si="10"/>
        <v>9.0739</v>
      </c>
      <c r="F67" s="28">
        <f t="shared" si="12"/>
        <v>9.0739</v>
      </c>
      <c r="G67" s="28"/>
      <c r="H67" s="29"/>
      <c r="I67" s="28"/>
      <c r="J67" s="219">
        <f>0.0162+0.0062</f>
        <v>0.0224</v>
      </c>
      <c r="K67" s="29">
        <f>J67*201.5+16.2*0.2815</f>
        <v>9.0739</v>
      </c>
      <c r="L67" s="41"/>
      <c r="M67" s="41"/>
      <c r="N67" s="41"/>
      <c r="O67" s="219"/>
      <c r="P67" s="28"/>
      <c r="Q67" s="26"/>
      <c r="R67" s="26"/>
      <c r="S67" s="26"/>
      <c r="T67" s="26"/>
      <c r="U67" s="26"/>
      <c r="V67" s="26"/>
      <c r="W67" s="29"/>
      <c r="X67" s="28"/>
      <c r="Y67" s="26"/>
      <c r="Z67" s="29"/>
      <c r="AA67" s="28"/>
      <c r="AB67" s="29"/>
      <c r="AC67" s="28"/>
      <c r="AD67" s="29"/>
      <c r="AE67" s="28"/>
      <c r="AF67" s="29"/>
      <c r="AG67" s="31"/>
      <c r="AH67" s="24"/>
      <c r="AI67" s="42"/>
      <c r="AJ67" s="43">
        <v>4</v>
      </c>
      <c r="AK67" s="30"/>
      <c r="AL67" s="32"/>
      <c r="AM67" s="32"/>
      <c r="AN67" s="32"/>
      <c r="AO67" s="79"/>
      <c r="AP67" s="32"/>
      <c r="AQ67" s="32"/>
    </row>
    <row r="68" spans="1:43" ht="12" customHeight="1">
      <c r="A68" s="26">
        <f t="shared" si="11"/>
        <v>16</v>
      </c>
      <c r="B68" s="27" t="s">
        <v>64</v>
      </c>
      <c r="C68" s="26">
        <v>22</v>
      </c>
      <c r="D68" s="26"/>
      <c r="E68" s="28">
        <f t="shared" si="10"/>
        <v>0.6045</v>
      </c>
      <c r="F68" s="28">
        <f t="shared" si="12"/>
        <v>0.6045</v>
      </c>
      <c r="G68" s="28"/>
      <c r="H68" s="29"/>
      <c r="I68" s="28"/>
      <c r="J68" s="219">
        <v>0.003</v>
      </c>
      <c r="K68" s="29">
        <f>J68*201.5</f>
        <v>0.6045</v>
      </c>
      <c r="L68" s="41"/>
      <c r="M68" s="41"/>
      <c r="N68" s="41"/>
      <c r="O68" s="219"/>
      <c r="P68" s="28"/>
      <c r="Q68" s="26"/>
      <c r="R68" s="26"/>
      <c r="S68" s="26"/>
      <c r="T68" s="26"/>
      <c r="U68" s="26"/>
      <c r="V68" s="26"/>
      <c r="W68" s="29"/>
      <c r="X68" s="28"/>
      <c r="Y68" s="26"/>
      <c r="Z68" s="29"/>
      <c r="AA68" s="28"/>
      <c r="AB68" s="29"/>
      <c r="AC68" s="28"/>
      <c r="AD68" s="29"/>
      <c r="AE68" s="28"/>
      <c r="AF68" s="29"/>
      <c r="AG68" s="31"/>
      <c r="AH68" s="24"/>
      <c r="AI68" s="42"/>
      <c r="AJ68" s="43">
        <v>6</v>
      </c>
      <c r="AK68" s="30"/>
      <c r="AL68" s="32"/>
      <c r="AM68" s="32"/>
      <c r="AN68" s="32"/>
      <c r="AO68" s="79"/>
      <c r="AP68" s="32"/>
      <c r="AQ68" s="32"/>
    </row>
    <row r="69" spans="1:43" ht="12" customHeight="1">
      <c r="A69" s="26">
        <f t="shared" si="11"/>
        <v>17</v>
      </c>
      <c r="B69" s="27" t="s">
        <v>89</v>
      </c>
      <c r="C69" s="26">
        <v>1</v>
      </c>
      <c r="D69" s="26"/>
      <c r="E69" s="28">
        <f>I69+K69+P69+X69+AA69+AC69+AE69+AG69</f>
        <v>100.38114999999999</v>
      </c>
      <c r="F69" s="28">
        <f>E69-G69</f>
        <v>100.38114999999999</v>
      </c>
      <c r="G69" s="28"/>
      <c r="H69" s="29">
        <v>0.018</v>
      </c>
      <c r="I69" s="28">
        <f>H69*1450</f>
        <v>26.099999999999998</v>
      </c>
      <c r="J69" s="219">
        <f>0.0064+0.3533</f>
        <v>0.3597</v>
      </c>
      <c r="K69" s="29">
        <f>J69*201.5+6.4*0.2815</f>
        <v>74.28115</v>
      </c>
      <c r="L69" s="41"/>
      <c r="M69" s="41"/>
      <c r="N69" s="41"/>
      <c r="O69" s="219"/>
      <c r="P69" s="28"/>
      <c r="Q69" s="26"/>
      <c r="R69" s="26"/>
      <c r="S69" s="26"/>
      <c r="T69" s="26"/>
      <c r="U69" s="26"/>
      <c r="V69" s="26"/>
      <c r="W69" s="29"/>
      <c r="X69" s="28"/>
      <c r="Y69" s="26"/>
      <c r="Z69" s="29"/>
      <c r="AA69" s="28"/>
      <c r="AB69" s="29"/>
      <c r="AC69" s="28"/>
      <c r="AD69" s="29"/>
      <c r="AE69" s="28"/>
      <c r="AF69" s="29"/>
      <c r="AG69" s="31"/>
      <c r="AH69" s="24"/>
      <c r="AI69" s="42"/>
      <c r="AJ69" s="43">
        <v>8</v>
      </c>
      <c r="AK69" s="30"/>
      <c r="AL69" s="32"/>
      <c r="AM69" s="32"/>
      <c r="AN69" s="32"/>
      <c r="AO69" s="79"/>
      <c r="AP69" s="32"/>
      <c r="AQ69" s="32"/>
    </row>
    <row r="70" spans="1:43" ht="12" customHeight="1">
      <c r="A70" s="26">
        <f t="shared" si="11"/>
        <v>18</v>
      </c>
      <c r="B70" s="27" t="s">
        <v>89</v>
      </c>
      <c r="C70" s="26">
        <v>4</v>
      </c>
      <c r="D70" s="26"/>
      <c r="E70" s="28">
        <f>I70+K70+P70+X70+AA70+AC70+AE70+AG70</f>
        <v>2.375</v>
      </c>
      <c r="F70" s="28">
        <f>E70-G70</f>
        <v>2.375</v>
      </c>
      <c r="G70" s="28"/>
      <c r="H70" s="29">
        <v>0.005</v>
      </c>
      <c r="I70" s="28">
        <f>H70*475</f>
        <v>2.375</v>
      </c>
      <c r="J70" s="219"/>
      <c r="K70" s="29"/>
      <c r="L70" s="41"/>
      <c r="M70" s="41"/>
      <c r="N70" s="41"/>
      <c r="O70" s="219"/>
      <c r="P70" s="28"/>
      <c r="Q70" s="26"/>
      <c r="R70" s="26"/>
      <c r="S70" s="26">
        <v>4</v>
      </c>
      <c r="T70" s="26"/>
      <c r="U70" s="26"/>
      <c r="V70" s="26">
        <v>2.2</v>
      </c>
      <c r="W70" s="29"/>
      <c r="X70" s="28"/>
      <c r="Y70" s="26"/>
      <c r="Z70" s="29"/>
      <c r="AA70" s="28"/>
      <c r="AB70" s="29"/>
      <c r="AC70" s="28"/>
      <c r="AD70" s="29"/>
      <c r="AE70" s="28"/>
      <c r="AF70" s="29"/>
      <c r="AG70" s="31"/>
      <c r="AH70" s="24"/>
      <c r="AI70" s="42">
        <v>1</v>
      </c>
      <c r="AJ70" s="43">
        <v>4</v>
      </c>
      <c r="AK70" s="30"/>
      <c r="AL70" s="32"/>
      <c r="AM70" s="32"/>
      <c r="AN70" s="32"/>
      <c r="AO70" s="79"/>
      <c r="AP70" s="32"/>
      <c r="AQ70" s="32"/>
    </row>
    <row r="71" spans="1:43" ht="12" customHeight="1">
      <c r="A71" s="26">
        <f t="shared" si="11"/>
        <v>19</v>
      </c>
      <c r="B71" s="27" t="s">
        <v>89</v>
      </c>
      <c r="C71" s="26">
        <v>6</v>
      </c>
      <c r="D71" s="26"/>
      <c r="E71" s="28">
        <f>I71+K71+P71+X71+AA71+AC71+AE71+AG71</f>
        <v>91.74414999999999</v>
      </c>
      <c r="F71" s="28">
        <f>E71-G71</f>
        <v>91.74414999999999</v>
      </c>
      <c r="G71" s="28"/>
      <c r="H71" s="29"/>
      <c r="I71" s="28"/>
      <c r="J71" s="219">
        <v>0.0521</v>
      </c>
      <c r="K71" s="29">
        <f>J71*201.5</f>
        <v>10.49815</v>
      </c>
      <c r="L71" s="41"/>
      <c r="M71" s="41"/>
      <c r="N71" s="41"/>
      <c r="O71" s="219"/>
      <c r="P71" s="28"/>
      <c r="Q71" s="26"/>
      <c r="R71" s="26"/>
      <c r="S71" s="26">
        <v>4</v>
      </c>
      <c r="T71" s="26"/>
      <c r="U71" s="26"/>
      <c r="V71" s="26"/>
      <c r="W71" s="29"/>
      <c r="X71" s="28"/>
      <c r="Y71" s="26"/>
      <c r="Z71" s="29"/>
      <c r="AA71" s="28"/>
      <c r="AB71" s="29">
        <v>0.1</v>
      </c>
      <c r="AC71" s="28">
        <v>81.246</v>
      </c>
      <c r="AD71" s="29"/>
      <c r="AE71" s="28"/>
      <c r="AF71" s="29"/>
      <c r="AG71" s="31"/>
      <c r="AH71" s="24"/>
      <c r="AI71" s="42">
        <v>2</v>
      </c>
      <c r="AJ71" s="43">
        <v>3</v>
      </c>
      <c r="AK71" s="30"/>
      <c r="AL71" s="32"/>
      <c r="AM71" s="32"/>
      <c r="AN71" s="32"/>
      <c r="AO71" s="79"/>
      <c r="AP71" s="32"/>
      <c r="AQ71" s="32"/>
    </row>
    <row r="72" spans="1:43" ht="12" customHeight="1">
      <c r="A72" s="26">
        <f t="shared" si="11"/>
        <v>20</v>
      </c>
      <c r="B72" s="27" t="s">
        <v>89</v>
      </c>
      <c r="C72" s="26">
        <v>6</v>
      </c>
      <c r="D72" s="26" t="s">
        <v>66</v>
      </c>
      <c r="E72" s="28">
        <f>I72+K72+P72+X72+AA72+AC72+AE72+AG72</f>
        <v>19</v>
      </c>
      <c r="F72" s="28">
        <f>E72-G72</f>
        <v>19</v>
      </c>
      <c r="G72" s="28"/>
      <c r="H72" s="29">
        <v>0.04</v>
      </c>
      <c r="I72" s="28">
        <f>H72*475</f>
        <v>19</v>
      </c>
      <c r="J72" s="219"/>
      <c r="K72" s="29"/>
      <c r="L72" s="41"/>
      <c r="M72" s="41"/>
      <c r="N72" s="41"/>
      <c r="O72" s="219"/>
      <c r="P72" s="28"/>
      <c r="Q72" s="26"/>
      <c r="R72" s="26"/>
      <c r="S72" s="26">
        <v>5</v>
      </c>
      <c r="T72" s="26"/>
      <c r="U72" s="26"/>
      <c r="V72" s="26"/>
      <c r="W72" s="29"/>
      <c r="X72" s="28"/>
      <c r="Y72" s="26"/>
      <c r="Z72" s="29"/>
      <c r="AA72" s="28"/>
      <c r="AB72" s="29"/>
      <c r="AC72" s="28"/>
      <c r="AD72" s="29"/>
      <c r="AE72" s="28"/>
      <c r="AF72" s="29"/>
      <c r="AG72" s="31"/>
      <c r="AH72" s="24"/>
      <c r="AI72" s="42">
        <v>2</v>
      </c>
      <c r="AJ72" s="43">
        <v>4</v>
      </c>
      <c r="AK72" s="30"/>
      <c r="AL72" s="32"/>
      <c r="AM72" s="32"/>
      <c r="AN72" s="32"/>
      <c r="AO72" s="79"/>
      <c r="AP72" s="32"/>
      <c r="AQ72" s="60" t="s">
        <v>90</v>
      </c>
    </row>
    <row r="73" spans="1:43" ht="12" customHeight="1">
      <c r="A73" s="26">
        <f t="shared" si="11"/>
        <v>21</v>
      </c>
      <c r="B73" s="27" t="s">
        <v>89</v>
      </c>
      <c r="C73" s="26">
        <v>11</v>
      </c>
      <c r="D73" s="26"/>
      <c r="E73" s="28">
        <f>I73+K73+P73+X73+AA73+AC73+AE73+AG73</f>
        <v>2.898</v>
      </c>
      <c r="F73" s="28">
        <f>E73-G73</f>
        <v>2.898</v>
      </c>
      <c r="G73" s="28"/>
      <c r="H73" s="29"/>
      <c r="I73" s="28"/>
      <c r="J73" s="219">
        <v>0.006</v>
      </c>
      <c r="K73" s="29">
        <f>J73*483</f>
        <v>2.898</v>
      </c>
      <c r="L73" s="41"/>
      <c r="M73" s="41"/>
      <c r="N73" s="41"/>
      <c r="O73" s="219"/>
      <c r="P73" s="28"/>
      <c r="Q73" s="26"/>
      <c r="R73" s="26"/>
      <c r="S73" s="26">
        <v>4</v>
      </c>
      <c r="T73" s="26"/>
      <c r="U73" s="26"/>
      <c r="V73" s="26"/>
      <c r="W73" s="29"/>
      <c r="X73" s="28"/>
      <c r="Y73" s="26"/>
      <c r="Z73" s="29"/>
      <c r="AA73" s="28"/>
      <c r="AB73" s="29"/>
      <c r="AC73" s="28"/>
      <c r="AD73" s="29"/>
      <c r="AE73" s="28"/>
      <c r="AF73" s="29"/>
      <c r="AG73" s="31"/>
      <c r="AH73" s="24"/>
      <c r="AI73" s="42"/>
      <c r="AJ73" s="43">
        <v>4</v>
      </c>
      <c r="AK73" s="30"/>
      <c r="AL73" s="32"/>
      <c r="AM73" s="32"/>
      <c r="AN73" s="32"/>
      <c r="AO73" s="79"/>
      <c r="AP73" s="32"/>
      <c r="AQ73" s="32"/>
    </row>
    <row r="74" spans="1:43" ht="12" customHeight="1">
      <c r="A74" s="26">
        <f t="shared" si="11"/>
        <v>22</v>
      </c>
      <c r="B74" s="27" t="s">
        <v>47</v>
      </c>
      <c r="C74" s="26">
        <v>48</v>
      </c>
      <c r="D74" s="26"/>
      <c r="E74" s="28">
        <f t="shared" si="10"/>
        <v>0</v>
      </c>
      <c r="F74" s="28">
        <f t="shared" si="12"/>
        <v>0</v>
      </c>
      <c r="G74" s="28"/>
      <c r="H74" s="29"/>
      <c r="I74" s="28"/>
      <c r="J74" s="219"/>
      <c r="K74" s="29"/>
      <c r="L74" s="41"/>
      <c r="M74" s="41"/>
      <c r="N74" s="41"/>
      <c r="O74" s="219"/>
      <c r="P74" s="28"/>
      <c r="Q74" s="26"/>
      <c r="R74" s="26"/>
      <c r="S74" s="26"/>
      <c r="T74" s="26"/>
      <c r="U74" s="26"/>
      <c r="V74" s="26"/>
      <c r="W74" s="29"/>
      <c r="X74" s="28"/>
      <c r="Y74" s="26"/>
      <c r="Z74" s="29"/>
      <c r="AA74" s="28"/>
      <c r="AB74" s="29"/>
      <c r="AC74" s="28"/>
      <c r="AD74" s="29"/>
      <c r="AE74" s="28"/>
      <c r="AF74" s="29"/>
      <c r="AG74" s="31"/>
      <c r="AH74" s="24"/>
      <c r="AI74" s="42"/>
      <c r="AJ74" s="43">
        <v>1</v>
      </c>
      <c r="AK74" s="30"/>
      <c r="AL74" s="32"/>
      <c r="AM74" s="32"/>
      <c r="AN74" s="32"/>
      <c r="AO74" s="79"/>
      <c r="AP74" s="32"/>
      <c r="AQ74" s="32"/>
    </row>
    <row r="75" spans="1:43" ht="12" customHeight="1">
      <c r="A75" s="26">
        <f t="shared" si="11"/>
        <v>23</v>
      </c>
      <c r="B75" s="27" t="s">
        <v>47</v>
      </c>
      <c r="C75" s="26">
        <v>50</v>
      </c>
      <c r="D75" s="26"/>
      <c r="E75" s="28">
        <f t="shared" si="10"/>
        <v>4.3497</v>
      </c>
      <c r="F75" s="28">
        <f t="shared" si="12"/>
        <v>4.3497</v>
      </c>
      <c r="G75" s="28"/>
      <c r="H75" s="29"/>
      <c r="I75" s="28"/>
      <c r="J75" s="219">
        <f>0.0045+0.0108</f>
        <v>0.015300000000000001</v>
      </c>
      <c r="K75" s="29">
        <f>J75*201.5+4.5*0.2815</f>
        <v>4.3497</v>
      </c>
      <c r="L75" s="41"/>
      <c r="M75" s="41"/>
      <c r="N75" s="41"/>
      <c r="O75" s="219"/>
      <c r="P75" s="28"/>
      <c r="Q75" s="26"/>
      <c r="R75" s="26"/>
      <c r="S75" s="26"/>
      <c r="T75" s="26"/>
      <c r="U75" s="26"/>
      <c r="V75" s="26"/>
      <c r="W75" s="29"/>
      <c r="X75" s="28"/>
      <c r="Y75" s="26"/>
      <c r="Z75" s="29"/>
      <c r="AA75" s="28"/>
      <c r="AB75" s="29"/>
      <c r="AC75" s="28"/>
      <c r="AD75" s="29"/>
      <c r="AE75" s="28"/>
      <c r="AF75" s="29"/>
      <c r="AG75" s="31"/>
      <c r="AH75" s="24"/>
      <c r="AI75" s="42"/>
      <c r="AJ75" s="43">
        <v>4</v>
      </c>
      <c r="AK75" s="30"/>
      <c r="AL75" s="32"/>
      <c r="AM75" s="32"/>
      <c r="AN75" s="32"/>
      <c r="AO75" s="79"/>
      <c r="AP75" s="32"/>
      <c r="AQ75" s="32"/>
    </row>
    <row r="76" spans="1:43" ht="12" customHeight="1">
      <c r="A76" s="26">
        <f t="shared" si="11"/>
        <v>24</v>
      </c>
      <c r="B76" s="27" t="s">
        <v>47</v>
      </c>
      <c r="C76" s="26">
        <v>50</v>
      </c>
      <c r="D76" s="26" t="s">
        <v>41</v>
      </c>
      <c r="E76" s="28">
        <f>I76+K76+P76+X76+AA76+AC76+AE76+AG76</f>
        <v>0</v>
      </c>
      <c r="F76" s="28">
        <f>E76-G76</f>
        <v>0</v>
      </c>
      <c r="G76" s="28"/>
      <c r="H76" s="29"/>
      <c r="I76" s="28"/>
      <c r="J76" s="219"/>
      <c r="K76" s="29"/>
      <c r="L76" s="41"/>
      <c r="M76" s="41"/>
      <c r="N76" s="41"/>
      <c r="O76" s="219"/>
      <c r="P76" s="28"/>
      <c r="Q76" s="26"/>
      <c r="R76" s="26"/>
      <c r="S76" s="26"/>
      <c r="T76" s="26"/>
      <c r="U76" s="26"/>
      <c r="V76" s="26"/>
      <c r="W76" s="29"/>
      <c r="X76" s="28"/>
      <c r="Y76" s="26"/>
      <c r="Z76" s="29"/>
      <c r="AA76" s="28"/>
      <c r="AB76" s="29"/>
      <c r="AC76" s="28"/>
      <c r="AD76" s="29"/>
      <c r="AE76" s="28"/>
      <c r="AF76" s="29"/>
      <c r="AG76" s="31"/>
      <c r="AH76" s="24"/>
      <c r="AI76" s="42">
        <v>1</v>
      </c>
      <c r="AJ76" s="43">
        <v>2</v>
      </c>
      <c r="AK76" s="30"/>
      <c r="AL76" s="32"/>
      <c r="AM76" s="32"/>
      <c r="AN76" s="32"/>
      <c r="AO76" s="79"/>
      <c r="AP76" s="32"/>
      <c r="AQ76" s="32"/>
    </row>
    <row r="77" spans="1:43" ht="12" customHeight="1">
      <c r="A77" s="26">
        <f t="shared" si="11"/>
        <v>25</v>
      </c>
      <c r="B77" s="27" t="s">
        <v>49</v>
      </c>
      <c r="C77" s="26">
        <v>54</v>
      </c>
      <c r="D77" s="26"/>
      <c r="E77" s="28">
        <f t="shared" si="10"/>
        <v>0</v>
      </c>
      <c r="F77" s="28">
        <f t="shared" si="12"/>
        <v>0</v>
      </c>
      <c r="G77" s="28"/>
      <c r="H77" s="29"/>
      <c r="I77" s="28"/>
      <c r="J77" s="219"/>
      <c r="K77" s="29"/>
      <c r="L77" s="41"/>
      <c r="M77" s="41"/>
      <c r="N77" s="41"/>
      <c r="O77" s="219"/>
      <c r="P77" s="28"/>
      <c r="Q77" s="26"/>
      <c r="R77" s="26"/>
      <c r="S77" s="26">
        <v>12</v>
      </c>
      <c r="T77" s="26"/>
      <c r="U77" s="26"/>
      <c r="V77" s="26">
        <v>20.2</v>
      </c>
      <c r="W77" s="29"/>
      <c r="X77" s="28"/>
      <c r="Y77" s="26"/>
      <c r="Z77" s="29"/>
      <c r="AA77" s="28"/>
      <c r="AB77" s="29"/>
      <c r="AC77" s="28"/>
      <c r="AD77" s="29"/>
      <c r="AE77" s="28"/>
      <c r="AF77" s="29"/>
      <c r="AG77" s="31"/>
      <c r="AH77" s="24"/>
      <c r="AI77" s="42"/>
      <c r="AJ77" s="43">
        <v>6</v>
      </c>
      <c r="AK77" s="30"/>
      <c r="AL77" s="32"/>
      <c r="AM77" s="32"/>
      <c r="AN77" s="32"/>
      <c r="AO77" s="79"/>
      <c r="AP77" s="32"/>
      <c r="AQ77" s="32"/>
    </row>
    <row r="78" spans="1:43" ht="12" customHeight="1">
      <c r="A78" s="26">
        <f t="shared" si="11"/>
        <v>26</v>
      </c>
      <c r="B78" s="27" t="s">
        <v>49</v>
      </c>
      <c r="C78" s="26">
        <v>54</v>
      </c>
      <c r="D78" s="26" t="s">
        <v>41</v>
      </c>
      <c r="E78" s="28">
        <f>I78+K78+P78+X78+AA78+AC78+AE78+AG78</f>
        <v>0</v>
      </c>
      <c r="F78" s="28">
        <f>E78-G78</f>
        <v>0</v>
      </c>
      <c r="G78" s="28"/>
      <c r="H78" s="29"/>
      <c r="I78" s="28"/>
      <c r="J78" s="219"/>
      <c r="K78" s="29"/>
      <c r="L78" s="41"/>
      <c r="M78" s="41"/>
      <c r="N78" s="41"/>
      <c r="O78" s="219"/>
      <c r="P78" s="28"/>
      <c r="Q78" s="26"/>
      <c r="R78" s="26"/>
      <c r="S78" s="26">
        <v>4</v>
      </c>
      <c r="T78" s="26"/>
      <c r="U78" s="26"/>
      <c r="V78" s="26">
        <v>10</v>
      </c>
      <c r="W78" s="29"/>
      <c r="X78" s="28"/>
      <c r="Y78" s="26"/>
      <c r="Z78" s="29"/>
      <c r="AA78" s="28"/>
      <c r="AB78" s="29"/>
      <c r="AC78" s="28"/>
      <c r="AD78" s="29"/>
      <c r="AE78" s="28"/>
      <c r="AF78" s="29"/>
      <c r="AG78" s="31"/>
      <c r="AH78" s="24"/>
      <c r="AI78" s="42"/>
      <c r="AJ78" s="43">
        <v>2</v>
      </c>
      <c r="AK78" s="30"/>
      <c r="AL78" s="32"/>
      <c r="AM78" s="32"/>
      <c r="AN78" s="32"/>
      <c r="AO78" s="79"/>
      <c r="AP78" s="32"/>
      <c r="AQ78" s="32"/>
    </row>
    <row r="79" spans="1:43" ht="12" customHeight="1">
      <c r="A79" s="26">
        <f t="shared" si="11"/>
        <v>27</v>
      </c>
      <c r="B79" s="27" t="s">
        <v>49</v>
      </c>
      <c r="C79" s="26">
        <v>56</v>
      </c>
      <c r="D79" s="26"/>
      <c r="E79" s="28">
        <f t="shared" si="10"/>
        <v>21.831599999999998</v>
      </c>
      <c r="F79" s="28">
        <f t="shared" si="12"/>
        <v>21.831599999999998</v>
      </c>
      <c r="G79" s="28"/>
      <c r="H79" s="29"/>
      <c r="I79" s="28"/>
      <c r="J79" s="219">
        <v>0.0452</v>
      </c>
      <c r="K79" s="29">
        <f>J79*483</f>
        <v>21.831599999999998</v>
      </c>
      <c r="L79" s="41"/>
      <c r="M79" s="41"/>
      <c r="N79" s="41"/>
      <c r="O79" s="219"/>
      <c r="P79" s="28"/>
      <c r="Q79" s="26"/>
      <c r="R79" s="26"/>
      <c r="S79" s="26">
        <v>16</v>
      </c>
      <c r="T79" s="26"/>
      <c r="U79" s="26"/>
      <c r="V79" s="26">
        <v>18</v>
      </c>
      <c r="W79" s="29"/>
      <c r="X79" s="28"/>
      <c r="Y79" s="26"/>
      <c r="Z79" s="29"/>
      <c r="AA79" s="28"/>
      <c r="AB79" s="29"/>
      <c r="AC79" s="28"/>
      <c r="AD79" s="29"/>
      <c r="AE79" s="28"/>
      <c r="AF79" s="29"/>
      <c r="AG79" s="31"/>
      <c r="AH79" s="24"/>
      <c r="AI79" s="42"/>
      <c r="AJ79" s="43">
        <v>8</v>
      </c>
      <c r="AK79" s="30"/>
      <c r="AL79" s="32"/>
      <c r="AM79" s="32"/>
      <c r="AN79" s="32"/>
      <c r="AO79" s="79"/>
      <c r="AP79" s="32"/>
      <c r="AQ79" s="32"/>
    </row>
    <row r="80" spans="1:43" ht="12" customHeight="1">
      <c r="A80" s="26">
        <f t="shared" si="11"/>
        <v>28</v>
      </c>
      <c r="B80" s="27" t="s">
        <v>49</v>
      </c>
      <c r="C80" s="26">
        <v>56</v>
      </c>
      <c r="D80" s="26" t="s">
        <v>41</v>
      </c>
      <c r="E80" s="28">
        <f>I80+K80+P80+X80+AA80+AC80+AE80+AG80</f>
        <v>2.898</v>
      </c>
      <c r="F80" s="28">
        <f>E80-G80</f>
        <v>2.898</v>
      </c>
      <c r="G80" s="28"/>
      <c r="H80" s="29"/>
      <c r="I80" s="28"/>
      <c r="J80" s="219">
        <v>0.006</v>
      </c>
      <c r="K80" s="29">
        <f>J80*483</f>
        <v>2.898</v>
      </c>
      <c r="L80" s="41"/>
      <c r="M80" s="41"/>
      <c r="N80" s="41"/>
      <c r="O80" s="219"/>
      <c r="P80" s="28"/>
      <c r="Q80" s="26"/>
      <c r="R80" s="26"/>
      <c r="S80" s="26">
        <v>4</v>
      </c>
      <c r="T80" s="26"/>
      <c r="U80" s="26"/>
      <c r="V80" s="26">
        <v>2.4</v>
      </c>
      <c r="W80" s="29"/>
      <c r="X80" s="28"/>
      <c r="Y80" s="26"/>
      <c r="Z80" s="29"/>
      <c r="AA80" s="28"/>
      <c r="AB80" s="29"/>
      <c r="AC80" s="28"/>
      <c r="AD80" s="29"/>
      <c r="AE80" s="28"/>
      <c r="AF80" s="29"/>
      <c r="AG80" s="31"/>
      <c r="AH80" s="24"/>
      <c r="AI80" s="42"/>
      <c r="AJ80" s="43">
        <v>2</v>
      </c>
      <c r="AK80" s="30"/>
      <c r="AL80" s="32"/>
      <c r="AM80" s="32"/>
      <c r="AN80" s="32"/>
      <c r="AO80" s="79"/>
      <c r="AP80" s="32"/>
      <c r="AQ80" s="32"/>
    </row>
    <row r="81" spans="1:43" ht="12" customHeight="1">
      <c r="A81" s="26">
        <f t="shared" si="11"/>
        <v>29</v>
      </c>
      <c r="B81" s="27" t="s">
        <v>51</v>
      </c>
      <c r="C81" s="26">
        <v>33</v>
      </c>
      <c r="D81" s="26"/>
      <c r="E81" s="28">
        <f>I81+K81+P81+X81+AA81+AC81+AE81+AG81+M81</f>
        <v>0</v>
      </c>
      <c r="F81" s="28">
        <f t="shared" si="12"/>
        <v>0</v>
      </c>
      <c r="G81" s="28"/>
      <c r="H81" s="29"/>
      <c r="I81" s="28"/>
      <c r="J81" s="219"/>
      <c r="K81" s="29"/>
      <c r="L81" s="41"/>
      <c r="M81" s="41"/>
      <c r="N81" s="41"/>
      <c r="O81" s="219"/>
      <c r="P81" s="28"/>
      <c r="Q81" s="26"/>
      <c r="R81" s="26"/>
      <c r="S81" s="26">
        <v>62</v>
      </c>
      <c r="T81" s="26"/>
      <c r="U81" s="26"/>
      <c r="V81" s="26">
        <v>14.5</v>
      </c>
      <c r="W81" s="29"/>
      <c r="X81" s="28"/>
      <c r="Y81" s="26"/>
      <c r="Z81" s="29"/>
      <c r="AA81" s="28"/>
      <c r="AB81" s="29"/>
      <c r="AC81" s="28"/>
      <c r="AD81" s="29"/>
      <c r="AE81" s="28"/>
      <c r="AF81" s="29"/>
      <c r="AG81" s="31"/>
      <c r="AH81" s="24"/>
      <c r="AI81" s="42"/>
      <c r="AJ81" s="43">
        <v>1</v>
      </c>
      <c r="AK81" s="30"/>
      <c r="AL81" s="32"/>
      <c r="AM81" s="32"/>
      <c r="AN81" s="32"/>
      <c r="AO81" s="79"/>
      <c r="AP81" s="32"/>
      <c r="AQ81" s="32"/>
    </row>
    <row r="82" spans="1:43" ht="12" customHeight="1">
      <c r="A82" s="26">
        <f t="shared" si="11"/>
        <v>30</v>
      </c>
      <c r="B82" s="27" t="s">
        <v>51</v>
      </c>
      <c r="C82" s="26">
        <v>35</v>
      </c>
      <c r="D82" s="26"/>
      <c r="E82" s="28">
        <f aca="true" t="shared" si="13" ref="E82:E92">I82+K82+P82+X82+AA82+AC82+AE82+AG82+M82</f>
        <v>25.7406</v>
      </c>
      <c r="F82" s="28">
        <f t="shared" si="12"/>
        <v>25.7406</v>
      </c>
      <c r="G82" s="28"/>
      <c r="H82" s="29"/>
      <c r="I82" s="28"/>
      <c r="J82" s="219">
        <f>0.0427+0.015</f>
        <v>0.0577</v>
      </c>
      <c r="K82" s="29">
        <f>J82*201.5+42.7*0.2815</f>
        <v>23.6466</v>
      </c>
      <c r="L82" s="41"/>
      <c r="M82" s="41"/>
      <c r="N82" s="41"/>
      <c r="O82" s="219">
        <v>0.002</v>
      </c>
      <c r="P82" s="28">
        <f>O82*1047</f>
        <v>2.094</v>
      </c>
      <c r="Q82" s="26"/>
      <c r="R82" s="26"/>
      <c r="S82" s="26">
        <v>6</v>
      </c>
      <c r="T82" s="26"/>
      <c r="U82" s="26"/>
      <c r="V82" s="26">
        <v>13.4</v>
      </c>
      <c r="W82" s="29"/>
      <c r="X82" s="28"/>
      <c r="Y82" s="26"/>
      <c r="Z82" s="29"/>
      <c r="AA82" s="28"/>
      <c r="AB82" s="29"/>
      <c r="AC82" s="28"/>
      <c r="AD82" s="29"/>
      <c r="AE82" s="28"/>
      <c r="AF82" s="29"/>
      <c r="AG82" s="31"/>
      <c r="AH82" s="24"/>
      <c r="AI82" s="42"/>
      <c r="AJ82" s="43">
        <v>6</v>
      </c>
      <c r="AK82" s="30"/>
      <c r="AL82" s="32"/>
      <c r="AM82" s="32"/>
      <c r="AN82" s="32"/>
      <c r="AO82" s="79"/>
      <c r="AP82" s="32"/>
      <c r="AQ82" s="32"/>
    </row>
    <row r="83" spans="1:43" ht="12" customHeight="1">
      <c r="A83" s="26">
        <f t="shared" si="11"/>
        <v>31</v>
      </c>
      <c r="B83" s="27" t="s">
        <v>51</v>
      </c>
      <c r="C83" s="26">
        <v>39</v>
      </c>
      <c r="D83" s="26"/>
      <c r="E83" s="28">
        <f t="shared" si="13"/>
        <v>34.075</v>
      </c>
      <c r="F83" s="28">
        <f t="shared" si="12"/>
        <v>34.075</v>
      </c>
      <c r="G83" s="28"/>
      <c r="H83" s="29">
        <v>0.0235</v>
      </c>
      <c r="I83" s="28">
        <f>H83*1450</f>
        <v>34.075</v>
      </c>
      <c r="J83" s="219"/>
      <c r="K83" s="29"/>
      <c r="L83" s="41"/>
      <c r="M83" s="41"/>
      <c r="N83" s="41"/>
      <c r="O83" s="219"/>
      <c r="P83" s="28"/>
      <c r="Q83" s="26"/>
      <c r="R83" s="26"/>
      <c r="S83" s="26">
        <v>16</v>
      </c>
      <c r="T83" s="26"/>
      <c r="U83" s="26"/>
      <c r="V83" s="26">
        <v>18</v>
      </c>
      <c r="W83" s="29"/>
      <c r="X83" s="28"/>
      <c r="Y83" s="26"/>
      <c r="Z83" s="29"/>
      <c r="AA83" s="28"/>
      <c r="AB83" s="29"/>
      <c r="AC83" s="28"/>
      <c r="AD83" s="29"/>
      <c r="AE83" s="28"/>
      <c r="AF83" s="29"/>
      <c r="AG83" s="31"/>
      <c r="AH83" s="24"/>
      <c r="AI83" s="42"/>
      <c r="AJ83" s="43">
        <v>8</v>
      </c>
      <c r="AK83" s="30"/>
      <c r="AL83" s="32"/>
      <c r="AM83" s="32"/>
      <c r="AN83" s="32"/>
      <c r="AO83" s="79"/>
      <c r="AP83" s="32"/>
      <c r="AQ83" s="32"/>
    </row>
    <row r="84" spans="1:43" ht="12" customHeight="1">
      <c r="A84" s="26">
        <f t="shared" si="11"/>
        <v>32</v>
      </c>
      <c r="B84" s="27" t="s">
        <v>51</v>
      </c>
      <c r="C84" s="26">
        <v>41</v>
      </c>
      <c r="D84" s="26"/>
      <c r="E84" s="28">
        <f t="shared" si="13"/>
        <v>0</v>
      </c>
      <c r="F84" s="28">
        <f t="shared" si="12"/>
        <v>0</v>
      </c>
      <c r="G84" s="28"/>
      <c r="H84" s="29"/>
      <c r="I84" s="28"/>
      <c r="J84" s="219"/>
      <c r="K84" s="29"/>
      <c r="L84" s="41"/>
      <c r="M84" s="41"/>
      <c r="N84" s="41"/>
      <c r="O84" s="219"/>
      <c r="P84" s="28"/>
      <c r="Q84" s="26"/>
      <c r="R84" s="26"/>
      <c r="S84" s="26">
        <v>10</v>
      </c>
      <c r="T84" s="26"/>
      <c r="U84" s="26"/>
      <c r="V84" s="26"/>
      <c r="W84" s="29"/>
      <c r="X84" s="28"/>
      <c r="Y84" s="26"/>
      <c r="Z84" s="29"/>
      <c r="AA84" s="28"/>
      <c r="AB84" s="29"/>
      <c r="AC84" s="28"/>
      <c r="AD84" s="29"/>
      <c r="AE84" s="28"/>
      <c r="AF84" s="29"/>
      <c r="AG84" s="31"/>
      <c r="AH84" s="24"/>
      <c r="AI84" s="42"/>
      <c r="AJ84" s="43">
        <v>5</v>
      </c>
      <c r="AK84" s="30"/>
      <c r="AL84" s="32"/>
      <c r="AM84" s="32"/>
      <c r="AN84" s="32"/>
      <c r="AO84" s="79"/>
      <c r="AP84" s="32"/>
      <c r="AQ84" s="32"/>
    </row>
    <row r="85" spans="1:43" ht="12" customHeight="1">
      <c r="A85" s="26">
        <f t="shared" si="11"/>
        <v>33</v>
      </c>
      <c r="B85" s="27" t="s">
        <v>51</v>
      </c>
      <c r="C85" s="26">
        <v>43</v>
      </c>
      <c r="D85" s="26"/>
      <c r="E85" s="28">
        <f t="shared" si="13"/>
        <v>13.23495</v>
      </c>
      <c r="F85" s="28">
        <f t="shared" si="12"/>
        <v>13.23495</v>
      </c>
      <c r="G85" s="28"/>
      <c r="H85" s="29"/>
      <c r="I85" s="28"/>
      <c r="J85" s="219">
        <f>0.006+0.0513</f>
        <v>0.0573</v>
      </c>
      <c r="K85" s="29">
        <f>J85*201.5+6*0.2815</f>
        <v>13.23495</v>
      </c>
      <c r="L85" s="41"/>
      <c r="M85" s="41"/>
      <c r="N85" s="41"/>
      <c r="O85" s="219"/>
      <c r="P85" s="28"/>
      <c r="Q85" s="26"/>
      <c r="R85" s="26"/>
      <c r="S85" s="26">
        <v>5</v>
      </c>
      <c r="T85" s="26"/>
      <c r="U85" s="26"/>
      <c r="V85" s="26">
        <v>7.8</v>
      </c>
      <c r="W85" s="29"/>
      <c r="X85" s="28"/>
      <c r="Y85" s="26"/>
      <c r="Z85" s="29"/>
      <c r="AA85" s="28"/>
      <c r="AB85" s="29"/>
      <c r="AC85" s="28"/>
      <c r="AD85" s="29"/>
      <c r="AE85" s="28"/>
      <c r="AF85" s="29"/>
      <c r="AG85" s="31"/>
      <c r="AH85" s="24"/>
      <c r="AI85" s="42"/>
      <c r="AJ85" s="43">
        <v>5</v>
      </c>
      <c r="AK85" s="30"/>
      <c r="AL85" s="32"/>
      <c r="AM85" s="32"/>
      <c r="AN85" s="32"/>
      <c r="AO85" s="79"/>
      <c r="AP85" s="32"/>
      <c r="AQ85" s="32"/>
    </row>
    <row r="86" spans="1:43" ht="12" customHeight="1">
      <c r="A86" s="26">
        <f t="shared" si="11"/>
        <v>34</v>
      </c>
      <c r="B86" s="27" t="s">
        <v>51</v>
      </c>
      <c r="C86" s="26">
        <v>51</v>
      </c>
      <c r="D86" s="26"/>
      <c r="E86" s="28">
        <f>I86+K86+P86+X86+AE86+AG86+M86+AC86+AA86</f>
        <v>16.319699999999997</v>
      </c>
      <c r="F86" s="28">
        <f t="shared" si="12"/>
        <v>16.319699999999997</v>
      </c>
      <c r="G86" s="28"/>
      <c r="H86" s="29"/>
      <c r="I86" s="28"/>
      <c r="J86" s="219">
        <f>0.0272+0.0054</f>
        <v>0.0326</v>
      </c>
      <c r="K86" s="29">
        <f>J86*201.5+27.2*0.2815</f>
        <v>14.225699999999998</v>
      </c>
      <c r="L86" s="41"/>
      <c r="M86" s="41"/>
      <c r="N86" s="41"/>
      <c r="O86" s="219">
        <v>0.002</v>
      </c>
      <c r="P86" s="28">
        <f>O86*1047</f>
        <v>2.094</v>
      </c>
      <c r="Q86" s="26"/>
      <c r="R86" s="26"/>
      <c r="S86" s="26">
        <v>10</v>
      </c>
      <c r="T86" s="26"/>
      <c r="U86" s="26"/>
      <c r="V86" s="26">
        <v>11.2</v>
      </c>
      <c r="W86" s="29"/>
      <c r="X86" s="28"/>
      <c r="Y86" s="26"/>
      <c r="Z86" s="222"/>
      <c r="AA86" s="223"/>
      <c r="AB86" s="29"/>
      <c r="AC86" s="28"/>
      <c r="AD86" s="29"/>
      <c r="AE86" s="28"/>
      <c r="AF86" s="29"/>
      <c r="AG86" s="31"/>
      <c r="AH86" s="24"/>
      <c r="AI86" s="42"/>
      <c r="AJ86" s="43">
        <v>5</v>
      </c>
      <c r="AK86" s="30"/>
      <c r="AL86" s="32"/>
      <c r="AM86" s="32"/>
      <c r="AN86" s="32"/>
      <c r="AO86" s="79"/>
      <c r="AP86" s="32"/>
      <c r="AQ86" s="32"/>
    </row>
    <row r="87" spans="1:43" ht="12" customHeight="1">
      <c r="A87" s="26">
        <f t="shared" si="11"/>
        <v>35</v>
      </c>
      <c r="B87" s="27" t="s">
        <v>51</v>
      </c>
      <c r="C87" s="26">
        <v>55</v>
      </c>
      <c r="D87" s="26"/>
      <c r="E87" s="28">
        <f t="shared" si="13"/>
        <v>47.481899999999996</v>
      </c>
      <c r="F87" s="28">
        <f t="shared" si="12"/>
        <v>47.481899999999996</v>
      </c>
      <c r="G87" s="28"/>
      <c r="H87" s="29">
        <v>0.06</v>
      </c>
      <c r="I87" s="28">
        <f>H87*475</f>
        <v>28.5</v>
      </c>
      <c r="J87" s="219">
        <v>0.0393</v>
      </c>
      <c r="K87" s="29">
        <f>J87*483</f>
        <v>18.9819</v>
      </c>
      <c r="L87" s="41"/>
      <c r="M87" s="41"/>
      <c r="N87" s="41"/>
      <c r="O87" s="219"/>
      <c r="P87" s="28"/>
      <c r="Q87" s="26"/>
      <c r="R87" s="26"/>
      <c r="S87" s="26">
        <v>16</v>
      </c>
      <c r="T87" s="26"/>
      <c r="U87" s="26"/>
      <c r="V87" s="26">
        <v>18</v>
      </c>
      <c r="W87" s="29"/>
      <c r="X87" s="28"/>
      <c r="Y87" s="26"/>
      <c r="Z87" s="29"/>
      <c r="AA87" s="28"/>
      <c r="AB87" s="29"/>
      <c r="AC87" s="28"/>
      <c r="AD87" s="29"/>
      <c r="AE87" s="28"/>
      <c r="AF87" s="29"/>
      <c r="AG87" s="31"/>
      <c r="AH87" s="24"/>
      <c r="AI87" s="42"/>
      <c r="AJ87" s="43">
        <v>8</v>
      </c>
      <c r="AK87" s="30"/>
      <c r="AL87" s="32"/>
      <c r="AM87" s="32"/>
      <c r="AN87" s="32"/>
      <c r="AO87" s="79"/>
      <c r="AP87" s="32"/>
      <c r="AQ87" s="32"/>
    </row>
    <row r="88" spans="1:43" ht="12" customHeight="1">
      <c r="A88" s="26">
        <f t="shared" si="11"/>
        <v>36</v>
      </c>
      <c r="B88" s="27" t="s">
        <v>51</v>
      </c>
      <c r="C88" s="26">
        <v>59</v>
      </c>
      <c r="D88" s="26"/>
      <c r="E88" s="28">
        <f t="shared" si="13"/>
        <v>0</v>
      </c>
      <c r="F88" s="28">
        <f t="shared" si="12"/>
        <v>0</v>
      </c>
      <c r="G88" s="28"/>
      <c r="H88" s="29"/>
      <c r="I88" s="28"/>
      <c r="J88" s="219"/>
      <c r="K88" s="29"/>
      <c r="L88" s="41"/>
      <c r="M88" s="41"/>
      <c r="N88" s="41"/>
      <c r="O88" s="219"/>
      <c r="P88" s="28"/>
      <c r="Q88" s="26"/>
      <c r="R88" s="26"/>
      <c r="S88" s="26">
        <v>2</v>
      </c>
      <c r="T88" s="26"/>
      <c r="U88" s="26"/>
      <c r="V88" s="26">
        <v>20</v>
      </c>
      <c r="W88" s="29"/>
      <c r="X88" s="28"/>
      <c r="Y88" s="26"/>
      <c r="Z88" s="29"/>
      <c r="AA88" s="28"/>
      <c r="AB88" s="29"/>
      <c r="AC88" s="28"/>
      <c r="AD88" s="29"/>
      <c r="AE88" s="28"/>
      <c r="AF88" s="29"/>
      <c r="AG88" s="31"/>
      <c r="AH88" s="24"/>
      <c r="AI88" s="42"/>
      <c r="AJ88" s="43">
        <v>1</v>
      </c>
      <c r="AK88" s="30"/>
      <c r="AL88" s="32"/>
      <c r="AM88" s="32"/>
      <c r="AN88" s="32"/>
      <c r="AO88" s="79"/>
      <c r="AP88" s="32"/>
      <c r="AQ88" s="32"/>
    </row>
    <row r="89" spans="1:43" ht="12" customHeight="1">
      <c r="A89" s="26">
        <f t="shared" si="11"/>
        <v>37</v>
      </c>
      <c r="B89" s="27" t="s">
        <v>51</v>
      </c>
      <c r="C89" s="26">
        <v>59</v>
      </c>
      <c r="D89" s="26" t="s">
        <v>41</v>
      </c>
      <c r="E89" s="28">
        <f t="shared" si="13"/>
        <v>0</v>
      </c>
      <c r="F89" s="28">
        <f t="shared" si="12"/>
        <v>0</v>
      </c>
      <c r="G89" s="28"/>
      <c r="H89" s="29"/>
      <c r="I89" s="28"/>
      <c r="J89" s="219"/>
      <c r="K89" s="29"/>
      <c r="L89" s="41"/>
      <c r="M89" s="41"/>
      <c r="N89" s="41"/>
      <c r="O89" s="219"/>
      <c r="P89" s="28"/>
      <c r="Q89" s="26"/>
      <c r="R89" s="26"/>
      <c r="S89" s="26">
        <v>2</v>
      </c>
      <c r="T89" s="26"/>
      <c r="U89" s="26"/>
      <c r="V89" s="26">
        <v>20</v>
      </c>
      <c r="W89" s="29"/>
      <c r="X89" s="28"/>
      <c r="Y89" s="26"/>
      <c r="Z89" s="29"/>
      <c r="AA89" s="28"/>
      <c r="AB89" s="29"/>
      <c r="AC89" s="28"/>
      <c r="AD89" s="29"/>
      <c r="AE89" s="28"/>
      <c r="AF89" s="29"/>
      <c r="AG89" s="31"/>
      <c r="AH89" s="24"/>
      <c r="AI89" s="42"/>
      <c r="AJ89" s="43">
        <v>1</v>
      </c>
      <c r="AK89" s="30"/>
      <c r="AL89" s="32"/>
      <c r="AM89" s="32"/>
      <c r="AN89" s="32"/>
      <c r="AO89" s="79"/>
      <c r="AP89" s="32"/>
      <c r="AQ89" s="32"/>
    </row>
    <row r="90" spans="1:43" ht="12" customHeight="1">
      <c r="A90" s="26">
        <f t="shared" si="11"/>
        <v>38</v>
      </c>
      <c r="B90" s="27" t="s">
        <v>51</v>
      </c>
      <c r="C90" s="26">
        <v>61</v>
      </c>
      <c r="D90" s="26"/>
      <c r="E90" s="28">
        <f t="shared" si="13"/>
        <v>7.2933</v>
      </c>
      <c r="F90" s="28">
        <f t="shared" si="12"/>
        <v>7.2933</v>
      </c>
      <c r="G90" s="28"/>
      <c r="H90" s="29"/>
      <c r="I90" s="28"/>
      <c r="J90" s="219">
        <v>0.0151</v>
      </c>
      <c r="K90" s="29">
        <f>J90*483</f>
        <v>7.2933</v>
      </c>
      <c r="L90" s="41"/>
      <c r="M90" s="41"/>
      <c r="N90" s="41"/>
      <c r="O90" s="219"/>
      <c r="P90" s="28"/>
      <c r="Q90" s="26"/>
      <c r="R90" s="26"/>
      <c r="S90" s="26">
        <v>12</v>
      </c>
      <c r="T90" s="26"/>
      <c r="U90" s="26"/>
      <c r="V90" s="26"/>
      <c r="W90" s="29"/>
      <c r="X90" s="28"/>
      <c r="Y90" s="26"/>
      <c r="Z90" s="29"/>
      <c r="AA90" s="28"/>
      <c r="AB90" s="29"/>
      <c r="AC90" s="28"/>
      <c r="AD90" s="29"/>
      <c r="AE90" s="28"/>
      <c r="AF90" s="29"/>
      <c r="AG90" s="31"/>
      <c r="AH90" s="24"/>
      <c r="AI90" s="42"/>
      <c r="AJ90" s="43">
        <v>6</v>
      </c>
      <c r="AK90" s="30"/>
      <c r="AL90" s="32"/>
      <c r="AM90" s="32"/>
      <c r="AN90" s="32"/>
      <c r="AO90" s="79"/>
      <c r="AP90" s="32"/>
      <c r="AQ90" s="32"/>
    </row>
    <row r="91" spans="1:43" ht="12" customHeight="1">
      <c r="A91" s="26">
        <f t="shared" si="11"/>
        <v>39</v>
      </c>
      <c r="B91" s="27" t="s">
        <v>51</v>
      </c>
      <c r="C91" s="26">
        <v>61</v>
      </c>
      <c r="D91" s="26" t="s">
        <v>41</v>
      </c>
      <c r="E91" s="28">
        <f t="shared" si="13"/>
        <v>12.564</v>
      </c>
      <c r="F91" s="28">
        <f t="shared" si="12"/>
        <v>12.564</v>
      </c>
      <c r="G91" s="28"/>
      <c r="H91" s="29"/>
      <c r="I91" s="28"/>
      <c r="J91" s="219"/>
      <c r="K91" s="29"/>
      <c r="L91" s="41"/>
      <c r="M91" s="41"/>
      <c r="N91" s="41"/>
      <c r="O91" s="219">
        <v>0.012</v>
      </c>
      <c r="P91" s="28">
        <f>O91*1047</f>
        <v>12.564</v>
      </c>
      <c r="Q91" s="26"/>
      <c r="R91" s="26"/>
      <c r="S91" s="26">
        <v>62</v>
      </c>
      <c r="T91" s="26"/>
      <c r="U91" s="26"/>
      <c r="V91" s="26">
        <v>2</v>
      </c>
      <c r="W91" s="29"/>
      <c r="X91" s="28"/>
      <c r="Y91" s="26"/>
      <c r="Z91" s="29"/>
      <c r="AA91" s="28"/>
      <c r="AB91" s="29"/>
      <c r="AC91" s="28"/>
      <c r="AD91" s="29"/>
      <c r="AE91" s="28"/>
      <c r="AF91" s="29"/>
      <c r="AG91" s="31"/>
      <c r="AH91" s="24"/>
      <c r="AI91" s="42"/>
      <c r="AJ91" s="43">
        <v>1</v>
      </c>
      <c r="AK91" s="30"/>
      <c r="AL91" s="32"/>
      <c r="AM91" s="32"/>
      <c r="AN91" s="32"/>
      <c r="AO91" s="79"/>
      <c r="AP91" s="32"/>
      <c r="AQ91" s="32"/>
    </row>
    <row r="92" spans="1:43" ht="12" customHeight="1">
      <c r="A92" s="26">
        <f t="shared" si="11"/>
        <v>40</v>
      </c>
      <c r="B92" s="27" t="s">
        <v>51</v>
      </c>
      <c r="C92" s="26">
        <v>63</v>
      </c>
      <c r="D92" s="26"/>
      <c r="E92" s="28">
        <f t="shared" si="13"/>
        <v>6.282</v>
      </c>
      <c r="F92" s="28">
        <f t="shared" si="12"/>
        <v>6.282</v>
      </c>
      <c r="G92" s="28"/>
      <c r="H92" s="29"/>
      <c r="I92" s="28"/>
      <c r="J92" s="219"/>
      <c r="K92" s="29"/>
      <c r="L92" s="41"/>
      <c r="M92" s="41"/>
      <c r="N92" s="41"/>
      <c r="O92" s="219">
        <v>0.006</v>
      </c>
      <c r="P92" s="28">
        <f>O92*1047</f>
        <v>6.282</v>
      </c>
      <c r="Q92" s="26"/>
      <c r="R92" s="26"/>
      <c r="S92" s="26">
        <v>10</v>
      </c>
      <c r="T92" s="26"/>
      <c r="U92" s="26"/>
      <c r="V92" s="26">
        <v>10</v>
      </c>
      <c r="W92" s="29"/>
      <c r="X92" s="28"/>
      <c r="Y92" s="26"/>
      <c r="Z92" s="29"/>
      <c r="AA92" s="28"/>
      <c r="AB92" s="29"/>
      <c r="AC92" s="28"/>
      <c r="AD92" s="29"/>
      <c r="AE92" s="28"/>
      <c r="AF92" s="29"/>
      <c r="AG92" s="31"/>
      <c r="AH92" s="24"/>
      <c r="AI92" s="42"/>
      <c r="AJ92" s="43">
        <v>5</v>
      </c>
      <c r="AK92" s="30"/>
      <c r="AL92" s="32"/>
      <c r="AM92" s="32"/>
      <c r="AN92" s="32"/>
      <c r="AO92" s="79"/>
      <c r="AP92" s="32"/>
      <c r="AQ92" s="32"/>
    </row>
    <row r="93" spans="1:43" ht="12.75">
      <c r="A93" s="22">
        <f>A92</f>
        <v>40</v>
      </c>
      <c r="B93" s="236" t="s">
        <v>126</v>
      </c>
      <c r="C93" s="262">
        <f>6*297.604+502</f>
        <v>2287.624</v>
      </c>
      <c r="D93" s="262"/>
      <c r="E93" s="23">
        <f>SUM(E53:E92)</f>
        <v>508.3903</v>
      </c>
      <c r="F93" s="23">
        <f>SUM(F53:F92)</f>
        <v>508.3903</v>
      </c>
      <c r="G93" s="23"/>
      <c r="H93" s="35">
        <f>SUM(H53:H92)</f>
        <v>0.2565</v>
      </c>
      <c r="I93" s="28">
        <f>SUM(I53:I92)</f>
        <v>162.3</v>
      </c>
      <c r="J93" s="221">
        <f aca="true" t="shared" si="14" ref="J93:Q93">SUM(J53:J92)</f>
        <v>0.8045</v>
      </c>
      <c r="K93" s="28">
        <f t="shared" si="14"/>
        <v>239.7163</v>
      </c>
      <c r="L93" s="35">
        <f t="shared" si="14"/>
        <v>0</v>
      </c>
      <c r="M93" s="35">
        <f t="shared" si="14"/>
        <v>0</v>
      </c>
      <c r="N93" s="35">
        <f t="shared" si="14"/>
        <v>0</v>
      </c>
      <c r="O93" s="221">
        <f t="shared" si="14"/>
        <v>0.024</v>
      </c>
      <c r="P93" s="35">
        <f t="shared" si="14"/>
        <v>25.128</v>
      </c>
      <c r="Q93" s="22">
        <f t="shared" si="14"/>
        <v>0</v>
      </c>
      <c r="R93" s="28"/>
      <c r="S93" s="22">
        <f aca="true" t="shared" si="15" ref="S93:AA93">SUM(S53:S92)</f>
        <v>330</v>
      </c>
      <c r="T93" s="22">
        <f t="shared" si="15"/>
        <v>0</v>
      </c>
      <c r="U93" s="35">
        <f t="shared" si="15"/>
        <v>0</v>
      </c>
      <c r="V93" s="22">
        <f t="shared" si="15"/>
        <v>225.70000000000002</v>
      </c>
      <c r="W93" s="22">
        <f t="shared" si="15"/>
        <v>0</v>
      </c>
      <c r="X93" s="28">
        <f t="shared" si="15"/>
        <v>0</v>
      </c>
      <c r="Y93" s="22">
        <f t="shared" si="15"/>
        <v>0</v>
      </c>
      <c r="Z93" s="35">
        <f t="shared" si="15"/>
        <v>0</v>
      </c>
      <c r="AA93" s="35">
        <f t="shared" si="15"/>
        <v>0</v>
      </c>
      <c r="AB93" s="35">
        <f>SUM(AB53:AB92)</f>
        <v>0.1</v>
      </c>
      <c r="AC93" s="28">
        <f>SUM(AC86:AC92)</f>
        <v>0</v>
      </c>
      <c r="AD93" s="35">
        <f>SUM(AD53:AD92)</f>
        <v>0</v>
      </c>
      <c r="AE93" s="23"/>
      <c r="AF93" s="35">
        <f>SUM(AF53:AF92)</f>
        <v>0</v>
      </c>
      <c r="AG93" s="23"/>
      <c r="AH93" s="23"/>
      <c r="AI93" s="22">
        <f aca="true" t="shared" si="16" ref="AI93:AN93">SUM(AI53:AI92)</f>
        <v>9</v>
      </c>
      <c r="AJ93" s="22">
        <f t="shared" si="16"/>
        <v>145</v>
      </c>
      <c r="AK93" s="35">
        <f t="shared" si="16"/>
        <v>0</v>
      </c>
      <c r="AL93" s="22">
        <f t="shared" si="16"/>
        <v>0</v>
      </c>
      <c r="AM93" s="22">
        <f t="shared" si="16"/>
        <v>0</v>
      </c>
      <c r="AN93" s="22">
        <f t="shared" si="16"/>
        <v>0</v>
      </c>
      <c r="AO93" s="79"/>
      <c r="AP93" s="32"/>
      <c r="AQ93" s="32"/>
    </row>
    <row r="94" spans="1:43" ht="22.5">
      <c r="A94" s="26">
        <v>1</v>
      </c>
      <c r="B94" s="27" t="s">
        <v>67</v>
      </c>
      <c r="C94" s="26">
        <v>5</v>
      </c>
      <c r="D94" s="26"/>
      <c r="E94" s="28">
        <f>I94+K94+P94+X94+AC94+AC94+AE94+AG94</f>
        <v>121.30919999999999</v>
      </c>
      <c r="F94" s="28">
        <f aca="true" t="shared" si="17" ref="F94:F115">E94-G94</f>
        <v>121.30919999999999</v>
      </c>
      <c r="G94" s="28"/>
      <c r="H94" s="29"/>
      <c r="I94" s="28"/>
      <c r="J94" s="219">
        <v>0.206</v>
      </c>
      <c r="K94" s="29">
        <f>J94*483</f>
        <v>99.49799999999999</v>
      </c>
      <c r="L94" s="29"/>
      <c r="M94" s="29"/>
      <c r="N94" s="29"/>
      <c r="O94" s="219"/>
      <c r="P94" s="28"/>
      <c r="Q94" s="26"/>
      <c r="R94" s="26"/>
      <c r="S94" s="26"/>
      <c r="T94" s="26"/>
      <c r="U94" s="26"/>
      <c r="V94" s="26"/>
      <c r="W94" s="26">
        <v>384</v>
      </c>
      <c r="X94" s="28">
        <f>W94*0.0568</f>
        <v>21.8112</v>
      </c>
      <c r="Y94" s="26"/>
      <c r="Z94" s="224" t="s">
        <v>147</v>
      </c>
      <c r="AA94" s="28">
        <f>34*0.193</f>
        <v>6.562</v>
      </c>
      <c r="AB94" s="29"/>
      <c r="AC94" s="28"/>
      <c r="AD94" s="29"/>
      <c r="AE94" s="28"/>
      <c r="AF94" s="29"/>
      <c r="AG94" s="31"/>
      <c r="AH94" s="31"/>
      <c r="AI94" s="34"/>
      <c r="AJ94" s="34">
        <v>10</v>
      </c>
      <c r="AK94" s="30"/>
      <c r="AL94" s="32"/>
      <c r="AM94" s="32"/>
      <c r="AN94" s="32"/>
      <c r="AO94" s="79" t="s">
        <v>68</v>
      </c>
      <c r="AP94" s="32"/>
      <c r="AQ94" s="32"/>
    </row>
    <row r="95" spans="1:43" ht="22.5">
      <c r="A95" s="26">
        <f aca="true" t="shared" si="18" ref="A95:A115">A94+1</f>
        <v>2</v>
      </c>
      <c r="B95" s="27" t="s">
        <v>67</v>
      </c>
      <c r="C95" s="26">
        <v>9</v>
      </c>
      <c r="D95" s="26"/>
      <c r="E95" s="28">
        <f aca="true" t="shared" si="19" ref="E95:E115">I95+K95+P95+X95+AA95+AC95+AE95+AG95</f>
        <v>11.294</v>
      </c>
      <c r="F95" s="28">
        <f t="shared" si="17"/>
        <v>11.294</v>
      </c>
      <c r="G95" s="28"/>
      <c r="H95" s="29"/>
      <c r="I95" s="28"/>
      <c r="J95" s="219"/>
      <c r="K95" s="28"/>
      <c r="L95" s="29"/>
      <c r="M95" s="29"/>
      <c r="N95" s="29"/>
      <c r="O95" s="219"/>
      <c r="P95" s="28"/>
      <c r="Q95" s="26"/>
      <c r="R95" s="26"/>
      <c r="S95" s="26"/>
      <c r="T95" s="26"/>
      <c r="U95" s="26"/>
      <c r="V95" s="26"/>
      <c r="W95" s="26"/>
      <c r="X95" s="28"/>
      <c r="Y95" s="26"/>
      <c r="Z95" s="224" t="s">
        <v>148</v>
      </c>
      <c r="AA95" s="28">
        <f>15*0.237+26*0.25+7*0.177</f>
        <v>11.294</v>
      </c>
      <c r="AB95" s="29"/>
      <c r="AC95" s="29"/>
      <c r="AD95" s="29"/>
      <c r="AE95" s="28"/>
      <c r="AF95" s="29"/>
      <c r="AG95" s="31"/>
      <c r="AH95" s="31"/>
      <c r="AI95" s="34"/>
      <c r="AJ95" s="34">
        <v>1</v>
      </c>
      <c r="AK95" s="30"/>
      <c r="AL95" s="32"/>
      <c r="AM95" s="32"/>
      <c r="AN95" s="32"/>
      <c r="AO95" s="79" t="s">
        <v>69</v>
      </c>
      <c r="AP95" s="32"/>
      <c r="AQ95" s="32"/>
    </row>
    <row r="96" spans="1:43" ht="12.75">
      <c r="A96" s="26">
        <f t="shared" si="18"/>
        <v>3</v>
      </c>
      <c r="B96" s="27" t="s">
        <v>70</v>
      </c>
      <c r="C96" s="26">
        <v>30</v>
      </c>
      <c r="D96" s="26"/>
      <c r="E96" s="28">
        <f t="shared" si="19"/>
        <v>0</v>
      </c>
      <c r="F96" s="28">
        <f t="shared" si="17"/>
        <v>0</v>
      </c>
      <c r="G96" s="28"/>
      <c r="H96" s="29"/>
      <c r="I96" s="28"/>
      <c r="J96" s="219"/>
      <c r="K96" s="28"/>
      <c r="L96" s="29"/>
      <c r="M96" s="29"/>
      <c r="N96" s="29"/>
      <c r="O96" s="219"/>
      <c r="P96" s="28"/>
      <c r="Q96" s="26"/>
      <c r="R96" s="26"/>
      <c r="S96" s="26"/>
      <c r="T96" s="26"/>
      <c r="U96" s="26"/>
      <c r="V96" s="26"/>
      <c r="W96" s="26"/>
      <c r="X96" s="28"/>
      <c r="Y96" s="26"/>
      <c r="Z96" s="29"/>
      <c r="AA96" s="28"/>
      <c r="AB96" s="29"/>
      <c r="AC96" s="28"/>
      <c r="AD96" s="29"/>
      <c r="AE96" s="28"/>
      <c r="AF96" s="29"/>
      <c r="AG96" s="31"/>
      <c r="AH96" s="31"/>
      <c r="AI96" s="34">
        <v>1</v>
      </c>
      <c r="AJ96" s="34">
        <v>1</v>
      </c>
      <c r="AK96" s="30"/>
      <c r="AL96" s="32"/>
      <c r="AM96" s="32"/>
      <c r="AN96" s="32"/>
      <c r="AO96" s="79" t="s">
        <v>71</v>
      </c>
      <c r="AP96" s="32"/>
      <c r="AQ96" s="32"/>
    </row>
    <row r="97" spans="1:43" ht="12.75">
      <c r="A97" s="26">
        <f t="shared" si="18"/>
        <v>4</v>
      </c>
      <c r="B97" s="27" t="s">
        <v>37</v>
      </c>
      <c r="C97" s="26">
        <v>127</v>
      </c>
      <c r="D97" s="26"/>
      <c r="E97" s="28">
        <f t="shared" si="19"/>
        <v>1.449</v>
      </c>
      <c r="F97" s="28">
        <f t="shared" si="17"/>
        <v>1.449</v>
      </c>
      <c r="G97" s="28"/>
      <c r="H97" s="29"/>
      <c r="I97" s="28"/>
      <c r="J97" s="219">
        <v>0.003</v>
      </c>
      <c r="K97" s="29">
        <f aca="true" t="shared" si="20" ref="K97:K102">J97*483</f>
        <v>1.449</v>
      </c>
      <c r="L97" s="29"/>
      <c r="M97" s="29"/>
      <c r="N97" s="29"/>
      <c r="O97" s="219"/>
      <c r="P97" s="28"/>
      <c r="Q97" s="26"/>
      <c r="R97" s="26"/>
      <c r="S97" s="26"/>
      <c r="T97" s="26"/>
      <c r="U97" s="26"/>
      <c r="V97" s="26"/>
      <c r="W97" s="26"/>
      <c r="X97" s="28"/>
      <c r="Y97" s="26"/>
      <c r="Z97" s="29"/>
      <c r="AA97" s="28"/>
      <c r="AB97" s="29"/>
      <c r="AC97" s="28"/>
      <c r="AD97" s="29"/>
      <c r="AE97" s="28"/>
      <c r="AF97" s="29"/>
      <c r="AG97" s="31"/>
      <c r="AH97" s="31"/>
      <c r="AI97" s="34"/>
      <c r="AJ97" s="34">
        <v>2</v>
      </c>
      <c r="AK97" s="30"/>
      <c r="AL97" s="32"/>
      <c r="AM97" s="32"/>
      <c r="AN97" s="32"/>
      <c r="AO97" s="79"/>
      <c r="AP97" s="32"/>
      <c r="AQ97" s="32"/>
    </row>
    <row r="98" spans="1:43" ht="12.75">
      <c r="A98" s="26">
        <f t="shared" si="18"/>
        <v>5</v>
      </c>
      <c r="B98" s="27" t="s">
        <v>37</v>
      </c>
      <c r="C98" s="26">
        <v>127</v>
      </c>
      <c r="D98" s="26" t="s">
        <v>41</v>
      </c>
      <c r="E98" s="28">
        <f t="shared" si="19"/>
        <v>54.741400000000006</v>
      </c>
      <c r="F98" s="28">
        <f t="shared" si="17"/>
        <v>54.741400000000006</v>
      </c>
      <c r="G98" s="28"/>
      <c r="H98" s="29">
        <v>0.016</v>
      </c>
      <c r="I98" s="28">
        <f>H98*707</f>
        <v>11.312</v>
      </c>
      <c r="J98" s="219">
        <v>0.029</v>
      </c>
      <c r="K98" s="29">
        <f t="shared" si="20"/>
        <v>14.007000000000001</v>
      </c>
      <c r="L98" s="29"/>
      <c r="M98" s="29"/>
      <c r="N98" s="29"/>
      <c r="O98" s="219"/>
      <c r="P98" s="28"/>
      <c r="Q98" s="26"/>
      <c r="R98" s="26"/>
      <c r="S98" s="26"/>
      <c r="T98" s="26"/>
      <c r="U98" s="26"/>
      <c r="V98" s="26"/>
      <c r="W98" s="26">
        <v>518</v>
      </c>
      <c r="X98" s="28">
        <f>W98*0.0568</f>
        <v>29.422400000000003</v>
      </c>
      <c r="Y98" s="26"/>
      <c r="Z98" s="29"/>
      <c r="AA98" s="28"/>
      <c r="AB98" s="29"/>
      <c r="AC98" s="28"/>
      <c r="AD98" s="29"/>
      <c r="AE98" s="28"/>
      <c r="AF98" s="29"/>
      <c r="AG98" s="31"/>
      <c r="AH98" s="31"/>
      <c r="AI98" s="34"/>
      <c r="AJ98" s="34">
        <v>12</v>
      </c>
      <c r="AK98" s="30"/>
      <c r="AL98" s="32"/>
      <c r="AM98" s="32"/>
      <c r="AN98" s="32"/>
      <c r="AO98" s="79"/>
      <c r="AP98" s="32"/>
      <c r="AQ98" s="32"/>
    </row>
    <row r="99" spans="1:43" ht="22.5">
      <c r="A99" s="26">
        <f t="shared" si="18"/>
        <v>6</v>
      </c>
      <c r="B99" s="27" t="s">
        <v>37</v>
      </c>
      <c r="C99" s="26">
        <v>129</v>
      </c>
      <c r="D99" s="26"/>
      <c r="E99" s="28">
        <f t="shared" si="19"/>
        <v>168.74120000000002</v>
      </c>
      <c r="F99" s="28">
        <f t="shared" si="17"/>
        <v>168.74120000000002</v>
      </c>
      <c r="G99" s="28"/>
      <c r="H99" s="29">
        <f>0.03+0.008</f>
        <v>0.038</v>
      </c>
      <c r="I99" s="28">
        <f>H99*326+8*0.381</f>
        <v>15.436</v>
      </c>
      <c r="J99" s="219">
        <v>0.25</v>
      </c>
      <c r="K99" s="29">
        <f t="shared" si="20"/>
        <v>120.75</v>
      </c>
      <c r="L99" s="29"/>
      <c r="M99" s="29"/>
      <c r="N99" s="29"/>
      <c r="O99" s="219">
        <v>0.014</v>
      </c>
      <c r="P99" s="28">
        <f>O99*523</f>
        <v>7.322</v>
      </c>
      <c r="Q99" s="26"/>
      <c r="R99" s="26"/>
      <c r="S99" s="26"/>
      <c r="T99" s="26"/>
      <c r="U99" s="26"/>
      <c r="V99" s="26"/>
      <c r="W99" s="26">
        <v>384</v>
      </c>
      <c r="X99" s="28">
        <f>W99*0.0568</f>
        <v>21.8112</v>
      </c>
      <c r="Y99" s="26"/>
      <c r="Z99" s="224" t="s">
        <v>149</v>
      </c>
      <c r="AA99" s="28">
        <f>6*0.237+8*0.25</f>
        <v>3.4219999999999997</v>
      </c>
      <c r="AB99" s="29"/>
      <c r="AC99" s="28"/>
      <c r="AD99" s="29"/>
      <c r="AE99" s="28"/>
      <c r="AF99" s="29"/>
      <c r="AG99" s="31"/>
      <c r="AH99" s="31"/>
      <c r="AI99" s="34"/>
      <c r="AJ99" s="34">
        <v>10</v>
      </c>
      <c r="AK99" s="30"/>
      <c r="AL99" s="32"/>
      <c r="AM99" s="32"/>
      <c r="AN99" s="32"/>
      <c r="AO99" s="79"/>
      <c r="AP99" s="32"/>
      <c r="AQ99" s="32"/>
    </row>
    <row r="100" spans="1:43" ht="12.75">
      <c r="A100" s="26">
        <f t="shared" si="18"/>
        <v>7</v>
      </c>
      <c r="B100" s="27" t="s">
        <v>37</v>
      </c>
      <c r="C100" s="26">
        <v>131</v>
      </c>
      <c r="D100" s="26"/>
      <c r="E100" s="28">
        <f t="shared" si="19"/>
        <v>3.2600000000000002</v>
      </c>
      <c r="F100" s="28">
        <f t="shared" si="17"/>
        <v>3.2600000000000002</v>
      </c>
      <c r="G100" s="28"/>
      <c r="H100" s="29">
        <v>0.01</v>
      </c>
      <c r="I100" s="28">
        <f>H100*326</f>
        <v>3.2600000000000002</v>
      </c>
      <c r="J100" s="219"/>
      <c r="K100" s="29">
        <f t="shared" si="20"/>
        <v>0</v>
      </c>
      <c r="L100" s="29"/>
      <c r="M100" s="29"/>
      <c r="N100" s="29"/>
      <c r="O100" s="219"/>
      <c r="P100" s="28"/>
      <c r="Q100" s="26"/>
      <c r="R100" s="26"/>
      <c r="S100" s="26"/>
      <c r="T100" s="26"/>
      <c r="U100" s="26"/>
      <c r="V100" s="26"/>
      <c r="W100" s="26"/>
      <c r="X100" s="28"/>
      <c r="Y100" s="26"/>
      <c r="Z100" s="29"/>
      <c r="AA100" s="28"/>
      <c r="AB100" s="29"/>
      <c r="AC100" s="28"/>
      <c r="AD100" s="29"/>
      <c r="AE100" s="28"/>
      <c r="AF100" s="29"/>
      <c r="AG100" s="31"/>
      <c r="AH100" s="31"/>
      <c r="AI100" s="34"/>
      <c r="AJ100" s="34">
        <v>1</v>
      </c>
      <c r="AK100" s="30"/>
      <c r="AL100" s="32"/>
      <c r="AM100" s="32"/>
      <c r="AN100" s="32"/>
      <c r="AO100" s="79"/>
      <c r="AP100" s="32"/>
      <c r="AQ100" s="32"/>
    </row>
    <row r="101" spans="1:43" ht="12.75">
      <c r="A101" s="26">
        <f t="shared" si="18"/>
        <v>8</v>
      </c>
      <c r="B101" s="27" t="s">
        <v>37</v>
      </c>
      <c r="C101" s="26">
        <v>135</v>
      </c>
      <c r="D101" s="26"/>
      <c r="E101" s="28">
        <f t="shared" si="19"/>
        <v>150.765</v>
      </c>
      <c r="F101" s="28">
        <f t="shared" si="17"/>
        <v>150.765</v>
      </c>
      <c r="G101" s="28"/>
      <c r="H101" s="29">
        <f>0.01+0.024</f>
        <v>0.034</v>
      </c>
      <c r="I101" s="28">
        <f>H101*326+10*0.454+24*0.381</f>
        <v>24.768</v>
      </c>
      <c r="J101" s="219">
        <f>0.113+0.07</f>
        <v>0.183</v>
      </c>
      <c r="K101" s="29">
        <f>J101*483+0.07*164</f>
        <v>99.869</v>
      </c>
      <c r="L101" s="29"/>
      <c r="M101" s="29"/>
      <c r="N101" s="29"/>
      <c r="O101" s="219"/>
      <c r="P101" s="28"/>
      <c r="Q101" s="26"/>
      <c r="R101" s="26"/>
      <c r="S101" s="26"/>
      <c r="T101" s="26"/>
      <c r="U101" s="26"/>
      <c r="V101" s="26"/>
      <c r="W101" s="26">
        <v>460</v>
      </c>
      <c r="X101" s="28">
        <f>W101*0.0568</f>
        <v>26.128</v>
      </c>
      <c r="Y101" s="26"/>
      <c r="Z101" s="29"/>
      <c r="AA101" s="28"/>
      <c r="AB101" s="29"/>
      <c r="AC101" s="28"/>
      <c r="AD101" s="29"/>
      <c r="AE101" s="28"/>
      <c r="AF101" s="29"/>
      <c r="AG101" s="31"/>
      <c r="AH101" s="31"/>
      <c r="AI101" s="34"/>
      <c r="AJ101" s="34">
        <v>12</v>
      </c>
      <c r="AK101" s="30"/>
      <c r="AL101" s="32"/>
      <c r="AM101" s="32"/>
      <c r="AN101" s="32"/>
      <c r="AO101" s="79"/>
      <c r="AP101" s="32"/>
      <c r="AQ101" s="32"/>
    </row>
    <row r="102" spans="1:43" ht="12.75">
      <c r="A102" s="26">
        <f t="shared" si="18"/>
        <v>9</v>
      </c>
      <c r="B102" s="27" t="s">
        <v>72</v>
      </c>
      <c r="C102" s="26">
        <v>2</v>
      </c>
      <c r="D102" s="26"/>
      <c r="E102" s="28">
        <f t="shared" si="19"/>
        <v>108.675</v>
      </c>
      <c r="F102" s="28">
        <f t="shared" si="17"/>
        <v>108.675</v>
      </c>
      <c r="G102" s="28"/>
      <c r="H102" s="29"/>
      <c r="I102" s="28"/>
      <c r="J102" s="219">
        <v>0.225</v>
      </c>
      <c r="K102" s="29">
        <f t="shared" si="20"/>
        <v>108.675</v>
      </c>
      <c r="L102" s="29"/>
      <c r="M102" s="29"/>
      <c r="N102" s="29"/>
      <c r="O102" s="219"/>
      <c r="P102" s="28"/>
      <c r="Q102" s="26"/>
      <c r="R102" s="26"/>
      <c r="S102" s="26"/>
      <c r="T102" s="26"/>
      <c r="U102" s="26"/>
      <c r="V102" s="26"/>
      <c r="W102" s="26"/>
      <c r="X102" s="28"/>
      <c r="Y102" s="26"/>
      <c r="Z102" s="29"/>
      <c r="AA102" s="28"/>
      <c r="AB102" s="29"/>
      <c r="AC102" s="28"/>
      <c r="AD102" s="29"/>
      <c r="AE102" s="28"/>
      <c r="AF102" s="29"/>
      <c r="AG102" s="31"/>
      <c r="AH102" s="31"/>
      <c r="AI102" s="34"/>
      <c r="AJ102" s="34">
        <v>10</v>
      </c>
      <c r="AK102" s="30"/>
      <c r="AL102" s="32"/>
      <c r="AM102" s="32"/>
      <c r="AN102" s="32"/>
      <c r="AO102" s="79"/>
      <c r="AP102" s="32"/>
      <c r="AQ102" s="32"/>
    </row>
    <row r="103" spans="1:43" ht="12.75">
      <c r="A103" s="26">
        <f t="shared" si="18"/>
        <v>10</v>
      </c>
      <c r="B103" s="27" t="s">
        <v>72</v>
      </c>
      <c r="C103" s="26">
        <v>6</v>
      </c>
      <c r="D103" s="26"/>
      <c r="E103" s="28">
        <f t="shared" si="19"/>
        <v>65.02850000000001</v>
      </c>
      <c r="F103" s="28">
        <f t="shared" si="17"/>
        <v>65.02850000000001</v>
      </c>
      <c r="G103" s="28"/>
      <c r="H103" s="29"/>
      <c r="I103" s="28"/>
      <c r="J103" s="219">
        <v>0.1</v>
      </c>
      <c r="K103" s="29">
        <f>J103*483</f>
        <v>48.300000000000004</v>
      </c>
      <c r="L103" s="29"/>
      <c r="M103" s="29"/>
      <c r="N103" s="29"/>
      <c r="O103" s="219">
        <v>0.0035</v>
      </c>
      <c r="P103" s="28">
        <f>O103*1047</f>
        <v>3.6645</v>
      </c>
      <c r="Q103" s="26"/>
      <c r="R103" s="26"/>
      <c r="S103" s="26"/>
      <c r="T103" s="26"/>
      <c r="U103" s="26"/>
      <c r="V103" s="26"/>
      <c r="W103" s="26">
        <v>230</v>
      </c>
      <c r="X103" s="28">
        <f>W103*0.0568</f>
        <v>13.064</v>
      </c>
      <c r="Y103" s="26"/>
      <c r="Z103" s="224"/>
      <c r="AA103" s="28"/>
      <c r="AB103" s="224"/>
      <c r="AC103" s="28"/>
      <c r="AD103" s="29"/>
      <c r="AE103" s="28"/>
      <c r="AF103" s="29"/>
      <c r="AG103" s="31"/>
      <c r="AH103" s="31"/>
      <c r="AI103" s="34"/>
      <c r="AJ103" s="34">
        <v>6</v>
      </c>
      <c r="AK103" s="30"/>
      <c r="AL103" s="32"/>
      <c r="AM103" s="32"/>
      <c r="AN103" s="32"/>
      <c r="AO103" s="79"/>
      <c r="AP103" s="32"/>
      <c r="AQ103" s="32"/>
    </row>
    <row r="104" spans="1:43" ht="12.75">
      <c r="A104" s="26">
        <f t="shared" si="18"/>
        <v>11</v>
      </c>
      <c r="B104" s="27" t="s">
        <v>65</v>
      </c>
      <c r="C104" s="26">
        <v>14</v>
      </c>
      <c r="D104" s="26"/>
      <c r="E104" s="28">
        <f t="shared" si="19"/>
        <v>9.08</v>
      </c>
      <c r="F104" s="28">
        <f t="shared" si="17"/>
        <v>9.08</v>
      </c>
      <c r="G104" s="28"/>
      <c r="H104" s="29">
        <v>0.01</v>
      </c>
      <c r="I104" s="28">
        <f>20*0.454</f>
        <v>9.08</v>
      </c>
      <c r="J104" s="219"/>
      <c r="K104" s="28"/>
      <c r="L104" s="29"/>
      <c r="M104" s="29"/>
      <c r="N104" s="29"/>
      <c r="O104" s="219"/>
      <c r="P104" s="28"/>
      <c r="Q104" s="26"/>
      <c r="R104" s="26"/>
      <c r="S104" s="26"/>
      <c r="T104" s="26"/>
      <c r="U104" s="26"/>
      <c r="V104" s="26"/>
      <c r="W104" s="26"/>
      <c r="X104" s="28"/>
      <c r="Y104" s="26"/>
      <c r="Z104" s="29"/>
      <c r="AA104" s="28"/>
      <c r="AB104" s="29"/>
      <c r="AC104" s="28"/>
      <c r="AD104" s="29"/>
      <c r="AE104" s="28"/>
      <c r="AF104" s="29"/>
      <c r="AG104" s="31"/>
      <c r="AH104" s="31"/>
      <c r="AI104" s="34">
        <v>1</v>
      </c>
      <c r="AJ104" s="34">
        <v>1</v>
      </c>
      <c r="AK104" s="30"/>
      <c r="AL104" s="32"/>
      <c r="AM104" s="32"/>
      <c r="AN104" s="32"/>
      <c r="AO104" s="79"/>
      <c r="AP104" s="32"/>
      <c r="AQ104" s="32"/>
    </row>
    <row r="105" spans="1:43" ht="12.75">
      <c r="A105" s="26">
        <f t="shared" si="18"/>
        <v>12</v>
      </c>
      <c r="B105" s="27" t="s">
        <v>51</v>
      </c>
      <c r="C105" s="26">
        <v>11</v>
      </c>
      <c r="D105" s="26"/>
      <c r="E105" s="28">
        <f>I105+K105+P105+X105+AA105+U105+AC105+AE105+AG105</f>
        <v>93.2224</v>
      </c>
      <c r="F105" s="28">
        <f t="shared" si="17"/>
        <v>93.2224</v>
      </c>
      <c r="G105" s="28"/>
      <c r="H105" s="29"/>
      <c r="I105" s="28"/>
      <c r="J105" s="219"/>
      <c r="K105" s="28"/>
      <c r="L105" s="29"/>
      <c r="M105" s="29"/>
      <c r="N105" s="29"/>
      <c r="O105" s="219">
        <v>0.006</v>
      </c>
      <c r="P105" s="28">
        <f>O105*1047</f>
        <v>6.282</v>
      </c>
      <c r="Q105" s="26"/>
      <c r="R105" s="26"/>
      <c r="S105" s="26"/>
      <c r="T105" s="26">
        <v>4</v>
      </c>
      <c r="U105" s="26">
        <f>4.2*4</f>
        <v>16.8</v>
      </c>
      <c r="V105" s="26"/>
      <c r="W105" s="26">
        <v>48</v>
      </c>
      <c r="X105" s="28">
        <f>W105*0.0568</f>
        <v>2.7264</v>
      </c>
      <c r="Y105" s="26"/>
      <c r="Z105" s="29"/>
      <c r="AA105" s="28"/>
      <c r="AB105" s="224"/>
      <c r="AC105" s="28"/>
      <c r="AD105" s="29"/>
      <c r="AE105" s="28"/>
      <c r="AF105" s="29">
        <v>0.1</v>
      </c>
      <c r="AG105" s="31">
        <v>67.414</v>
      </c>
      <c r="AH105" s="31"/>
      <c r="AI105" s="34"/>
      <c r="AJ105" s="34">
        <v>2</v>
      </c>
      <c r="AK105" s="30"/>
      <c r="AL105" s="32"/>
      <c r="AM105" s="32"/>
      <c r="AN105" s="32"/>
      <c r="AO105" s="79"/>
      <c r="AP105" s="32"/>
      <c r="AQ105" s="32"/>
    </row>
    <row r="106" spans="1:43" ht="12.75" customHeight="1">
      <c r="A106" s="26">
        <f t="shared" si="18"/>
        <v>13</v>
      </c>
      <c r="B106" s="27" t="s">
        <v>51</v>
      </c>
      <c r="C106" s="26">
        <v>13</v>
      </c>
      <c r="D106" s="26" t="s">
        <v>41</v>
      </c>
      <c r="E106" s="28">
        <f t="shared" si="19"/>
        <v>315.705</v>
      </c>
      <c r="F106" s="28">
        <f t="shared" si="17"/>
        <v>315.705</v>
      </c>
      <c r="G106" s="28"/>
      <c r="H106" s="29">
        <v>0.01</v>
      </c>
      <c r="I106" s="28">
        <f>H106*326</f>
        <v>3.2600000000000002</v>
      </c>
      <c r="J106" s="219">
        <v>0.056</v>
      </c>
      <c r="K106" s="29">
        <f>J106*483</f>
        <v>27.048000000000002</v>
      </c>
      <c r="L106" s="29"/>
      <c r="M106" s="29"/>
      <c r="N106" s="29"/>
      <c r="O106" s="219"/>
      <c r="P106" s="28"/>
      <c r="Q106" s="26"/>
      <c r="R106" s="26"/>
      <c r="S106" s="26"/>
      <c r="T106" s="26"/>
      <c r="U106" s="26"/>
      <c r="V106" s="26"/>
      <c r="W106" s="26"/>
      <c r="X106" s="28"/>
      <c r="Y106" s="26"/>
      <c r="Z106" s="224"/>
      <c r="AA106" s="28"/>
      <c r="AB106" s="224">
        <v>0.12</v>
      </c>
      <c r="AC106" s="28">
        <v>285.397</v>
      </c>
      <c r="AD106" s="224"/>
      <c r="AE106" s="28"/>
      <c r="AF106" s="29"/>
      <c r="AG106" s="31"/>
      <c r="AH106" s="31"/>
      <c r="AI106" s="34"/>
      <c r="AJ106" s="34">
        <v>5</v>
      </c>
      <c r="AK106" s="30"/>
      <c r="AL106" s="32"/>
      <c r="AM106" s="32"/>
      <c r="AN106" s="32"/>
      <c r="AO106" s="79"/>
      <c r="AP106" s="32"/>
      <c r="AQ106" s="32"/>
    </row>
    <row r="107" spans="1:43" ht="33.75">
      <c r="A107" s="26">
        <f t="shared" si="18"/>
        <v>14</v>
      </c>
      <c r="B107" s="27" t="s">
        <v>51</v>
      </c>
      <c r="C107" s="26">
        <v>13</v>
      </c>
      <c r="D107" s="26"/>
      <c r="E107" s="28">
        <f t="shared" si="19"/>
        <v>42.939</v>
      </c>
      <c r="F107" s="28">
        <f t="shared" si="17"/>
        <v>42.939</v>
      </c>
      <c r="G107" s="28"/>
      <c r="H107" s="29">
        <v>0.01</v>
      </c>
      <c r="I107" s="28">
        <f>H107*326</f>
        <v>3.2600000000000002</v>
      </c>
      <c r="J107" s="219">
        <v>0.029</v>
      </c>
      <c r="K107" s="29">
        <f>J107*483</f>
        <v>14.007000000000001</v>
      </c>
      <c r="L107" s="29"/>
      <c r="M107" s="29"/>
      <c r="N107" s="29"/>
      <c r="O107" s="219">
        <v>0.004</v>
      </c>
      <c r="P107" s="28">
        <f>O107*523</f>
        <v>2.092</v>
      </c>
      <c r="Q107" s="26"/>
      <c r="R107" s="26"/>
      <c r="S107" s="26"/>
      <c r="T107" s="26"/>
      <c r="U107" s="26"/>
      <c r="V107" s="26"/>
      <c r="W107" s="26">
        <v>115</v>
      </c>
      <c r="X107" s="28">
        <f>W107*0.0568</f>
        <v>6.532</v>
      </c>
      <c r="Y107" s="26"/>
      <c r="Z107" s="224" t="s">
        <v>150</v>
      </c>
      <c r="AA107" s="28">
        <f>8*0.193+2*7.752</f>
        <v>17.048</v>
      </c>
      <c r="AB107" s="224"/>
      <c r="AC107" s="28"/>
      <c r="AD107" s="29"/>
      <c r="AE107" s="28"/>
      <c r="AF107" s="29"/>
      <c r="AG107" s="31"/>
      <c r="AH107" s="31"/>
      <c r="AI107" s="34"/>
      <c r="AJ107" s="34">
        <v>3</v>
      </c>
      <c r="AK107" s="30"/>
      <c r="AL107" s="32"/>
      <c r="AM107" s="32"/>
      <c r="AN107" s="32"/>
      <c r="AO107" s="79"/>
      <c r="AP107" s="32"/>
      <c r="AQ107" s="32"/>
    </row>
    <row r="108" spans="1:43" ht="12.75">
      <c r="A108" s="26">
        <f t="shared" si="18"/>
        <v>15</v>
      </c>
      <c r="B108" s="27" t="s">
        <v>51</v>
      </c>
      <c r="C108" s="26">
        <v>13</v>
      </c>
      <c r="D108" s="26" t="s">
        <v>40</v>
      </c>
      <c r="E108" s="28">
        <f t="shared" si="19"/>
        <v>171.6118</v>
      </c>
      <c r="F108" s="28">
        <f t="shared" si="17"/>
        <v>171.6118</v>
      </c>
      <c r="G108" s="28"/>
      <c r="H108" s="29">
        <v>0.02</v>
      </c>
      <c r="I108" s="28">
        <f>H108*326</f>
        <v>6.5200000000000005</v>
      </c>
      <c r="J108" s="219">
        <v>0.105</v>
      </c>
      <c r="K108" s="29">
        <f>J108*483</f>
        <v>50.714999999999996</v>
      </c>
      <c r="L108" s="29"/>
      <c r="M108" s="29"/>
      <c r="N108" s="29"/>
      <c r="O108" s="219">
        <f>0.003+0.01</f>
        <v>0.013000000000000001</v>
      </c>
      <c r="P108" s="28">
        <f>O108*1047-10*0.524</f>
        <v>8.371</v>
      </c>
      <c r="Q108" s="26"/>
      <c r="R108" s="26"/>
      <c r="S108" s="26"/>
      <c r="T108" s="26"/>
      <c r="U108" s="26"/>
      <c r="V108" s="26"/>
      <c r="W108" s="26">
        <v>86</v>
      </c>
      <c r="X108" s="28">
        <f>W108*0.0568</f>
        <v>4.8848</v>
      </c>
      <c r="Y108" s="26"/>
      <c r="Z108" s="29"/>
      <c r="AA108" s="28"/>
      <c r="AB108" s="29"/>
      <c r="AC108" s="28"/>
      <c r="AD108" s="29"/>
      <c r="AE108" s="28"/>
      <c r="AF108" s="29">
        <v>0.15</v>
      </c>
      <c r="AG108" s="31">
        <v>101.121</v>
      </c>
      <c r="AH108" s="31"/>
      <c r="AI108" s="34"/>
      <c r="AJ108" s="34">
        <v>4</v>
      </c>
      <c r="AK108" s="30"/>
      <c r="AL108" s="32"/>
      <c r="AM108" s="32"/>
      <c r="AN108" s="32"/>
      <c r="AO108" s="79"/>
      <c r="AP108" s="32"/>
      <c r="AQ108" s="32"/>
    </row>
    <row r="109" spans="1:43" ht="12.75">
      <c r="A109" s="26">
        <f t="shared" si="18"/>
        <v>16</v>
      </c>
      <c r="B109" s="27" t="s">
        <v>51</v>
      </c>
      <c r="C109" s="26">
        <v>13</v>
      </c>
      <c r="D109" s="26" t="s">
        <v>73</v>
      </c>
      <c r="E109" s="28">
        <f t="shared" si="19"/>
        <v>13.551400000000001</v>
      </c>
      <c r="F109" s="28">
        <f t="shared" si="17"/>
        <v>13.551400000000001</v>
      </c>
      <c r="G109" s="28"/>
      <c r="H109" s="29"/>
      <c r="I109" s="28"/>
      <c r="J109" s="219">
        <v>0.023</v>
      </c>
      <c r="K109" s="29">
        <f>J109*483</f>
        <v>11.109</v>
      </c>
      <c r="L109" s="29"/>
      <c r="M109" s="29"/>
      <c r="N109" s="29"/>
      <c r="O109" s="219"/>
      <c r="P109" s="28"/>
      <c r="Q109" s="26"/>
      <c r="R109" s="26"/>
      <c r="S109" s="26"/>
      <c r="T109" s="26"/>
      <c r="U109" s="26"/>
      <c r="V109" s="26"/>
      <c r="W109" s="26">
        <v>43</v>
      </c>
      <c r="X109" s="28">
        <f>W109*0.0568</f>
        <v>2.4424</v>
      </c>
      <c r="Y109" s="26"/>
      <c r="Z109" s="29"/>
      <c r="AA109" s="28"/>
      <c r="AB109" s="29"/>
      <c r="AC109" s="28"/>
      <c r="AD109" s="29"/>
      <c r="AE109" s="28"/>
      <c r="AF109" s="29"/>
      <c r="AG109" s="31"/>
      <c r="AH109" s="31"/>
      <c r="AI109" s="34"/>
      <c r="AJ109" s="34">
        <v>1</v>
      </c>
      <c r="AK109" s="30"/>
      <c r="AL109" s="32"/>
      <c r="AM109" s="32"/>
      <c r="AN109" s="32"/>
      <c r="AO109" s="79"/>
      <c r="AP109" s="32"/>
      <c r="AQ109" s="32"/>
    </row>
    <row r="110" spans="1:43" ht="12.75">
      <c r="A110" s="26">
        <f t="shared" si="18"/>
        <v>17</v>
      </c>
      <c r="B110" s="27" t="s">
        <v>51</v>
      </c>
      <c r="C110" s="26">
        <v>17</v>
      </c>
      <c r="D110" s="26" t="s">
        <v>41</v>
      </c>
      <c r="E110" s="28">
        <f t="shared" si="19"/>
        <v>63.255399999999995</v>
      </c>
      <c r="F110" s="28">
        <f t="shared" si="17"/>
        <v>63.255399999999995</v>
      </c>
      <c r="G110" s="28"/>
      <c r="H110" s="29">
        <f>0.03+0.016</f>
        <v>0.046</v>
      </c>
      <c r="I110" s="28">
        <f>H110*326+20*0.454+16*0.381</f>
        <v>30.172</v>
      </c>
      <c r="J110" s="219">
        <v>0.044</v>
      </c>
      <c r="K110" s="29">
        <f>J110*483</f>
        <v>21.252</v>
      </c>
      <c r="L110" s="29"/>
      <c r="M110" s="29"/>
      <c r="N110" s="29"/>
      <c r="O110" s="219">
        <v>0.003</v>
      </c>
      <c r="P110" s="28">
        <f>O110*1047</f>
        <v>3.141</v>
      </c>
      <c r="Q110" s="26"/>
      <c r="R110" s="26"/>
      <c r="S110" s="26"/>
      <c r="T110" s="26"/>
      <c r="U110" s="26"/>
      <c r="V110" s="26"/>
      <c r="W110" s="26">
        <v>153</v>
      </c>
      <c r="X110" s="28">
        <f>W110*0.0568</f>
        <v>8.6904</v>
      </c>
      <c r="Y110" s="26"/>
      <c r="Z110" s="29"/>
      <c r="AA110" s="28"/>
      <c r="AB110" s="29"/>
      <c r="AC110" s="28"/>
      <c r="AD110" s="29"/>
      <c r="AE110" s="28"/>
      <c r="AF110" s="29"/>
      <c r="AG110" s="31"/>
      <c r="AH110" s="31"/>
      <c r="AI110" s="34"/>
      <c r="AJ110" s="34">
        <v>5</v>
      </c>
      <c r="AK110" s="30"/>
      <c r="AL110" s="32"/>
      <c r="AM110" s="32"/>
      <c r="AN110" s="32"/>
      <c r="AO110" s="79"/>
      <c r="AP110" s="32"/>
      <c r="AQ110" s="32"/>
    </row>
    <row r="111" spans="1:43" ht="12.75">
      <c r="A111" s="26">
        <f t="shared" si="18"/>
        <v>18</v>
      </c>
      <c r="B111" s="27" t="s">
        <v>51</v>
      </c>
      <c r="C111" s="26">
        <v>17</v>
      </c>
      <c r="D111" s="26"/>
      <c r="E111" s="28">
        <f t="shared" si="19"/>
        <v>101.308</v>
      </c>
      <c r="F111" s="28">
        <f t="shared" si="17"/>
        <v>101.308</v>
      </c>
      <c r="G111" s="28"/>
      <c r="H111" s="29">
        <v>0.15</v>
      </c>
      <c r="I111" s="28">
        <f>H111*326+15*0.454</f>
        <v>55.71</v>
      </c>
      <c r="J111" s="219">
        <f>0.037+0.038</f>
        <v>0.075</v>
      </c>
      <c r="K111" s="29">
        <f>J111*483+0.038*164</f>
        <v>42.457</v>
      </c>
      <c r="L111" s="29"/>
      <c r="M111" s="29"/>
      <c r="N111" s="29"/>
      <c r="O111" s="219">
        <v>0.003</v>
      </c>
      <c r="P111" s="28">
        <f>O111*1047</f>
        <v>3.141</v>
      </c>
      <c r="Q111" s="26"/>
      <c r="R111" s="26"/>
      <c r="S111" s="26"/>
      <c r="T111" s="26"/>
      <c r="U111" s="26"/>
      <c r="V111" s="26"/>
      <c r="W111" s="26"/>
      <c r="X111" s="28"/>
      <c r="Y111" s="26"/>
      <c r="Z111" s="29"/>
      <c r="AA111" s="28"/>
      <c r="AB111" s="29"/>
      <c r="AC111" s="28"/>
      <c r="AD111" s="29"/>
      <c r="AE111" s="28"/>
      <c r="AF111" s="29"/>
      <c r="AG111" s="31"/>
      <c r="AH111" s="31"/>
      <c r="AI111" s="34"/>
      <c r="AJ111" s="34">
        <v>5</v>
      </c>
      <c r="AK111" s="30"/>
      <c r="AL111" s="32"/>
      <c r="AM111" s="32"/>
      <c r="AN111" s="32"/>
      <c r="AO111" s="79"/>
      <c r="AP111" s="32"/>
      <c r="AQ111" s="32"/>
    </row>
    <row r="112" spans="1:43" ht="12.75">
      <c r="A112" s="26">
        <f t="shared" si="18"/>
        <v>19</v>
      </c>
      <c r="B112" s="27" t="s">
        <v>51</v>
      </c>
      <c r="C112" s="26">
        <v>19</v>
      </c>
      <c r="D112" s="26"/>
      <c r="E112" s="28">
        <f t="shared" si="19"/>
        <v>12.921</v>
      </c>
      <c r="F112" s="28">
        <f t="shared" si="17"/>
        <v>12.921</v>
      </c>
      <c r="G112" s="28"/>
      <c r="H112" s="29">
        <v>0.03</v>
      </c>
      <c r="I112" s="28">
        <f>H112*326</f>
        <v>9.78</v>
      </c>
      <c r="J112" s="219"/>
      <c r="K112" s="28"/>
      <c r="L112" s="29"/>
      <c r="M112" s="29"/>
      <c r="N112" s="29"/>
      <c r="O112" s="219">
        <v>0.003</v>
      </c>
      <c r="P112" s="28">
        <f>O112*1047</f>
        <v>3.141</v>
      </c>
      <c r="Q112" s="26"/>
      <c r="R112" s="26"/>
      <c r="S112" s="26"/>
      <c r="T112" s="26"/>
      <c r="U112" s="26"/>
      <c r="V112" s="26"/>
      <c r="W112" s="26"/>
      <c r="X112" s="28"/>
      <c r="Y112" s="26"/>
      <c r="Z112" s="224"/>
      <c r="AA112" s="28"/>
      <c r="AB112" s="224"/>
      <c r="AC112" s="28"/>
      <c r="AD112" s="224"/>
      <c r="AE112" s="28"/>
      <c r="AF112" s="29"/>
      <c r="AG112" s="31"/>
      <c r="AH112" s="31"/>
      <c r="AI112" s="34"/>
      <c r="AJ112" s="34">
        <v>1</v>
      </c>
      <c r="AK112" s="30"/>
      <c r="AL112" s="32"/>
      <c r="AM112" s="32"/>
      <c r="AN112" s="32"/>
      <c r="AO112" s="79"/>
      <c r="AP112" s="32"/>
      <c r="AQ112" s="32"/>
    </row>
    <row r="113" spans="1:43" ht="22.5">
      <c r="A113" s="26">
        <f t="shared" si="18"/>
        <v>20</v>
      </c>
      <c r="B113" s="27" t="s">
        <v>51</v>
      </c>
      <c r="C113" s="26">
        <v>23</v>
      </c>
      <c r="D113" s="26"/>
      <c r="E113" s="28">
        <f>I113+K113+P113+X113+AA113+AC113+AE113+AG113</f>
        <v>42.035</v>
      </c>
      <c r="F113" s="28">
        <f t="shared" si="17"/>
        <v>42.035</v>
      </c>
      <c r="G113" s="28"/>
      <c r="H113" s="29">
        <v>0.025</v>
      </c>
      <c r="I113" s="28">
        <f>H113*326+47*0.454</f>
        <v>29.488</v>
      </c>
      <c r="J113" s="219"/>
      <c r="K113" s="28"/>
      <c r="L113" s="29"/>
      <c r="M113" s="29"/>
      <c r="N113" s="29"/>
      <c r="O113" s="219"/>
      <c r="P113" s="28"/>
      <c r="Q113" s="26"/>
      <c r="R113" s="26"/>
      <c r="S113" s="26"/>
      <c r="T113" s="26"/>
      <c r="U113" s="26"/>
      <c r="V113" s="26"/>
      <c r="W113" s="26"/>
      <c r="X113" s="28"/>
      <c r="Y113" s="26"/>
      <c r="Z113" s="224" t="s">
        <v>151</v>
      </c>
      <c r="AA113" s="28">
        <f>18*0.237+31*0.25+3*0.177</f>
        <v>12.547</v>
      </c>
      <c r="AB113" s="29"/>
      <c r="AC113" s="28"/>
      <c r="AD113" s="29"/>
      <c r="AE113" s="28"/>
      <c r="AF113" s="29"/>
      <c r="AG113" s="31"/>
      <c r="AH113" s="31"/>
      <c r="AI113" s="34"/>
      <c r="AJ113" s="34">
        <v>1</v>
      </c>
      <c r="AK113" s="30"/>
      <c r="AL113" s="32"/>
      <c r="AM113" s="32"/>
      <c r="AN113" s="32"/>
      <c r="AO113" s="79"/>
      <c r="AP113" s="32"/>
      <c r="AQ113" s="32"/>
    </row>
    <row r="114" spans="1:43" ht="12.75">
      <c r="A114" s="26">
        <f t="shared" si="18"/>
        <v>21</v>
      </c>
      <c r="B114" s="27" t="s">
        <v>51</v>
      </c>
      <c r="C114" s="26">
        <v>25</v>
      </c>
      <c r="D114" s="26"/>
      <c r="E114" s="28">
        <f t="shared" si="19"/>
        <v>79.14959999999999</v>
      </c>
      <c r="F114" s="28">
        <f t="shared" si="17"/>
        <v>79.14959999999999</v>
      </c>
      <c r="G114" s="28"/>
      <c r="H114" s="29">
        <v>0.015</v>
      </c>
      <c r="I114" s="28">
        <f>H114*326+10*0.454</f>
        <v>9.43</v>
      </c>
      <c r="J114" s="219">
        <f>0.028+0.07</f>
        <v>0.098</v>
      </c>
      <c r="K114" s="29">
        <f>J114*483+0.07*164</f>
        <v>58.81400000000001</v>
      </c>
      <c r="L114" s="29"/>
      <c r="M114" s="29"/>
      <c r="N114" s="29"/>
      <c r="O114" s="219"/>
      <c r="P114" s="28"/>
      <c r="Q114" s="26"/>
      <c r="R114" s="26"/>
      <c r="S114" s="26"/>
      <c r="T114" s="26"/>
      <c r="U114" s="26"/>
      <c r="V114" s="26"/>
      <c r="W114" s="26">
        <v>192</v>
      </c>
      <c r="X114" s="28">
        <f>W114*0.0568</f>
        <v>10.9056</v>
      </c>
      <c r="Y114" s="26"/>
      <c r="Z114" s="29"/>
      <c r="AA114" s="28"/>
      <c r="AB114" s="224"/>
      <c r="AC114" s="28"/>
      <c r="AD114" s="29"/>
      <c r="AE114" s="28"/>
      <c r="AF114" s="29"/>
      <c r="AG114" s="31"/>
      <c r="AH114" s="31"/>
      <c r="AI114" s="34"/>
      <c r="AJ114" s="34">
        <v>5</v>
      </c>
      <c r="AK114" s="30"/>
      <c r="AL114" s="32"/>
      <c r="AM114" s="32"/>
      <c r="AN114" s="32"/>
      <c r="AO114" s="79"/>
      <c r="AP114" s="32"/>
      <c r="AQ114" s="32"/>
    </row>
    <row r="115" spans="1:43" ht="12" customHeight="1">
      <c r="A115" s="26">
        <f t="shared" si="18"/>
        <v>22</v>
      </c>
      <c r="B115" s="27" t="s">
        <v>51</v>
      </c>
      <c r="C115" s="26">
        <v>25</v>
      </c>
      <c r="D115" s="26" t="s">
        <v>41</v>
      </c>
      <c r="E115" s="28">
        <f t="shared" si="19"/>
        <v>56.7504</v>
      </c>
      <c r="F115" s="28">
        <f t="shared" si="17"/>
        <v>56.7504</v>
      </c>
      <c r="G115" s="28"/>
      <c r="H115" s="29">
        <v>0.015</v>
      </c>
      <c r="I115" s="28">
        <f>H115*326</f>
        <v>4.89</v>
      </c>
      <c r="J115" s="219">
        <f>0.052+0.038</f>
        <v>0.09</v>
      </c>
      <c r="K115" s="29">
        <f>J115*483+0.038*164</f>
        <v>49.702</v>
      </c>
      <c r="L115" s="29"/>
      <c r="M115" s="29"/>
      <c r="N115" s="29"/>
      <c r="O115" s="219"/>
      <c r="P115" s="28"/>
      <c r="Q115" s="26"/>
      <c r="R115" s="26"/>
      <c r="S115" s="26"/>
      <c r="T115" s="26"/>
      <c r="U115" s="26"/>
      <c r="V115" s="26"/>
      <c r="W115" s="26">
        <v>38</v>
      </c>
      <c r="X115" s="28">
        <f>W115*0.0568</f>
        <v>2.1584000000000003</v>
      </c>
      <c r="Y115" s="26"/>
      <c r="Z115" s="29"/>
      <c r="AA115" s="28"/>
      <c r="AB115" s="224"/>
      <c r="AC115" s="28"/>
      <c r="AD115" s="29"/>
      <c r="AE115" s="28"/>
      <c r="AF115" s="29"/>
      <c r="AG115" s="31"/>
      <c r="AH115" s="31"/>
      <c r="AI115" s="34"/>
      <c r="AJ115" s="34">
        <v>1</v>
      </c>
      <c r="AK115" s="30"/>
      <c r="AL115" s="32"/>
      <c r="AM115" s="32"/>
      <c r="AN115" s="32"/>
      <c r="AO115" s="79"/>
      <c r="AP115" s="32"/>
      <c r="AQ115" s="32"/>
    </row>
    <row r="116" spans="1:43" ht="12.75">
      <c r="A116" s="22">
        <f>A115</f>
        <v>22</v>
      </c>
      <c r="B116" s="237" t="s">
        <v>127</v>
      </c>
      <c r="C116" s="262">
        <f>6*224.561+418</f>
        <v>1765.366</v>
      </c>
      <c r="D116" s="262"/>
      <c r="E116" s="23">
        <f>SUM(E94:E115)</f>
        <v>1686.7923</v>
      </c>
      <c r="F116" s="23">
        <f aca="true" t="shared" si="21" ref="F116:AN116">SUM(F94:F115)</f>
        <v>1686.7923</v>
      </c>
      <c r="G116" s="23">
        <f t="shared" si="21"/>
        <v>0</v>
      </c>
      <c r="H116" s="35">
        <f t="shared" si="21"/>
        <v>0.42900000000000005</v>
      </c>
      <c r="I116" s="23">
        <f>SUM(I94:I115)</f>
        <v>216.36599999999999</v>
      </c>
      <c r="J116" s="221">
        <f t="shared" si="21"/>
        <v>1.516</v>
      </c>
      <c r="K116" s="23">
        <f>SUM(K94:K115)</f>
        <v>767.6519999999999</v>
      </c>
      <c r="L116" s="35">
        <f t="shared" si="21"/>
        <v>0</v>
      </c>
      <c r="M116" s="35">
        <f t="shared" si="21"/>
        <v>0</v>
      </c>
      <c r="N116" s="35">
        <f t="shared" si="21"/>
        <v>0</v>
      </c>
      <c r="O116" s="221">
        <f t="shared" si="21"/>
        <v>0.04950000000000001</v>
      </c>
      <c r="P116" s="35">
        <f t="shared" si="21"/>
        <v>37.15449999999999</v>
      </c>
      <c r="Q116" s="22">
        <f t="shared" si="21"/>
        <v>0</v>
      </c>
      <c r="R116" s="22"/>
      <c r="S116" s="22">
        <f t="shared" si="21"/>
        <v>0</v>
      </c>
      <c r="T116" s="22">
        <f>SUM(T94:T115)</f>
        <v>4</v>
      </c>
      <c r="U116" s="35">
        <f>SUM(U94:U115)</f>
        <v>16.8</v>
      </c>
      <c r="V116" s="22"/>
      <c r="W116" s="22">
        <f t="shared" si="21"/>
        <v>2651</v>
      </c>
      <c r="X116" s="28">
        <f>SUM(X94:X115)</f>
        <v>150.57680000000002</v>
      </c>
      <c r="Y116" s="22">
        <f t="shared" si="21"/>
        <v>0</v>
      </c>
      <c r="Z116" s="35">
        <f t="shared" si="21"/>
        <v>0</v>
      </c>
      <c r="AA116" s="28">
        <f>SUM(AA94:AA115)</f>
        <v>50.873000000000005</v>
      </c>
      <c r="AB116" s="35">
        <f t="shared" si="21"/>
        <v>0.12</v>
      </c>
      <c r="AC116" s="28">
        <f>SUM(AC94:AC115)</f>
        <v>285.397</v>
      </c>
      <c r="AD116" s="35">
        <f t="shared" si="21"/>
        <v>0</v>
      </c>
      <c r="AE116" s="28">
        <f>SUM(AE94:AE115)</f>
        <v>0</v>
      </c>
      <c r="AF116" s="35">
        <f t="shared" si="21"/>
        <v>0.25</v>
      </c>
      <c r="AG116" s="23"/>
      <c r="AH116" s="23"/>
      <c r="AI116" s="22">
        <f t="shared" si="21"/>
        <v>2</v>
      </c>
      <c r="AJ116" s="22">
        <f t="shared" si="21"/>
        <v>99</v>
      </c>
      <c r="AK116" s="35">
        <f t="shared" si="21"/>
        <v>0</v>
      </c>
      <c r="AL116" s="22">
        <f t="shared" si="21"/>
        <v>0</v>
      </c>
      <c r="AM116" s="22">
        <f t="shared" si="21"/>
        <v>0</v>
      </c>
      <c r="AN116" s="22">
        <f t="shared" si="21"/>
        <v>0</v>
      </c>
      <c r="AO116" s="79"/>
      <c r="AP116" s="32"/>
      <c r="AQ116" s="32"/>
    </row>
    <row r="117" spans="1:43" ht="12.75">
      <c r="A117" s="26">
        <v>1</v>
      </c>
      <c r="B117" s="27" t="s">
        <v>44</v>
      </c>
      <c r="C117" s="26">
        <v>93</v>
      </c>
      <c r="D117" s="26" t="s">
        <v>41</v>
      </c>
      <c r="E117" s="28">
        <f>I117+K117+M117+P117+X117+AA117+AC117+AE117+AG117+U117</f>
        <v>24.198</v>
      </c>
      <c r="F117" s="28">
        <f aca="true" t="shared" si="22" ref="F117:F122">E117-G117</f>
        <v>24.198</v>
      </c>
      <c r="G117" s="28"/>
      <c r="H117" s="29"/>
      <c r="I117" s="28"/>
      <c r="J117" s="29">
        <v>0.018</v>
      </c>
      <c r="K117" s="28">
        <f>J117*483</f>
        <v>8.693999999999999</v>
      </c>
      <c r="L117" s="29"/>
      <c r="M117" s="29"/>
      <c r="N117" s="29"/>
      <c r="O117" s="219"/>
      <c r="P117" s="28"/>
      <c r="Q117" s="26"/>
      <c r="R117" s="26"/>
      <c r="S117" s="26"/>
      <c r="T117" s="26"/>
      <c r="U117" s="26"/>
      <c r="V117" s="26">
        <v>16</v>
      </c>
      <c r="W117" s="26"/>
      <c r="X117" s="28"/>
      <c r="Y117" s="26"/>
      <c r="Z117" s="29" t="s">
        <v>52</v>
      </c>
      <c r="AA117" s="28">
        <f>7.752*2</f>
        <v>15.504</v>
      </c>
      <c r="AB117" s="29"/>
      <c r="AC117" s="28"/>
      <c r="AD117" s="29"/>
      <c r="AE117" s="28"/>
      <c r="AF117" s="29"/>
      <c r="AG117" s="31"/>
      <c r="AH117" s="33"/>
      <c r="AI117" s="34">
        <v>1</v>
      </c>
      <c r="AJ117" s="34">
        <v>1</v>
      </c>
      <c r="AK117" s="30"/>
      <c r="AL117" s="32"/>
      <c r="AM117" s="32"/>
      <c r="AN117" s="32"/>
      <c r="AO117" s="79" t="s">
        <v>74</v>
      </c>
      <c r="AP117" s="32"/>
      <c r="AQ117" s="32"/>
    </row>
    <row r="118" spans="1:43" ht="12.75">
      <c r="A118" s="26">
        <f aca="true" t="shared" si="23" ref="A118:A177">A117+1</f>
        <v>2</v>
      </c>
      <c r="B118" s="27" t="s">
        <v>44</v>
      </c>
      <c r="C118" s="26">
        <v>98</v>
      </c>
      <c r="D118" s="26"/>
      <c r="E118" s="28">
        <f aca="true" t="shared" si="24" ref="E118:E177">I118+K118+M118+P118+X118+AA118+AC118+AE118+AG118+U118</f>
        <v>0</v>
      </c>
      <c r="F118" s="28">
        <f t="shared" si="22"/>
        <v>0</v>
      </c>
      <c r="G118" s="28"/>
      <c r="H118" s="29"/>
      <c r="I118" s="28"/>
      <c r="J118" s="29"/>
      <c r="K118" s="28"/>
      <c r="L118" s="29"/>
      <c r="M118" s="29"/>
      <c r="N118" s="29"/>
      <c r="O118" s="219"/>
      <c r="P118" s="28"/>
      <c r="Q118" s="26"/>
      <c r="R118" s="26"/>
      <c r="S118" s="26"/>
      <c r="T118" s="26"/>
      <c r="U118" s="26"/>
      <c r="V118" s="26">
        <v>6</v>
      </c>
      <c r="W118" s="26"/>
      <c r="X118" s="28"/>
      <c r="Y118" s="26"/>
      <c r="Z118" s="243"/>
      <c r="AA118" s="28"/>
      <c r="AB118" s="29"/>
      <c r="AC118" s="28"/>
      <c r="AD118" s="29"/>
      <c r="AE118" s="28"/>
      <c r="AF118" s="29"/>
      <c r="AG118" s="31"/>
      <c r="AH118" s="33"/>
      <c r="AI118" s="34"/>
      <c r="AJ118" s="34">
        <v>1</v>
      </c>
      <c r="AK118" s="30"/>
      <c r="AL118" s="32"/>
      <c r="AM118" s="32"/>
      <c r="AN118" s="32"/>
      <c r="AO118" s="79" t="s">
        <v>60</v>
      </c>
      <c r="AP118" s="32"/>
      <c r="AQ118" s="32"/>
    </row>
    <row r="119" spans="1:43" ht="12.75">
      <c r="A119" s="26">
        <f t="shared" si="23"/>
        <v>3</v>
      </c>
      <c r="B119" s="27" t="s">
        <v>44</v>
      </c>
      <c r="C119" s="26">
        <v>100</v>
      </c>
      <c r="D119" s="26"/>
      <c r="E119" s="28">
        <f t="shared" si="24"/>
        <v>0</v>
      </c>
      <c r="F119" s="28">
        <f t="shared" si="22"/>
        <v>0</v>
      </c>
      <c r="G119" s="28"/>
      <c r="H119" s="29"/>
      <c r="I119" s="28"/>
      <c r="J119" s="29"/>
      <c r="K119" s="28"/>
      <c r="L119" s="29"/>
      <c r="M119" s="29"/>
      <c r="N119" s="29"/>
      <c r="O119" s="219"/>
      <c r="P119" s="28"/>
      <c r="Q119" s="26"/>
      <c r="R119" s="26"/>
      <c r="S119" s="26"/>
      <c r="T119" s="26"/>
      <c r="U119" s="26"/>
      <c r="V119" s="26">
        <v>8</v>
      </c>
      <c r="W119" s="26"/>
      <c r="X119" s="28"/>
      <c r="Y119" s="26"/>
      <c r="Z119" s="243"/>
      <c r="AA119" s="28"/>
      <c r="AB119" s="29"/>
      <c r="AC119" s="28"/>
      <c r="AD119" s="29"/>
      <c r="AE119" s="28"/>
      <c r="AF119" s="29"/>
      <c r="AG119" s="31"/>
      <c r="AH119" s="33"/>
      <c r="AI119" s="34"/>
      <c r="AJ119" s="34">
        <v>1</v>
      </c>
      <c r="AK119" s="30"/>
      <c r="AL119" s="32"/>
      <c r="AM119" s="32"/>
      <c r="AN119" s="32"/>
      <c r="AO119" s="79" t="s">
        <v>75</v>
      </c>
      <c r="AP119" s="32"/>
      <c r="AQ119" s="32"/>
    </row>
    <row r="120" spans="1:43" ht="12.75">
      <c r="A120" s="26">
        <f t="shared" si="23"/>
        <v>4</v>
      </c>
      <c r="B120" s="27" t="s">
        <v>44</v>
      </c>
      <c r="C120" s="26">
        <v>104</v>
      </c>
      <c r="D120" s="26"/>
      <c r="E120" s="28">
        <f t="shared" si="24"/>
        <v>0</v>
      </c>
      <c r="F120" s="28">
        <f t="shared" si="22"/>
        <v>0</v>
      </c>
      <c r="G120" s="28"/>
      <c r="H120" s="29"/>
      <c r="I120" s="28"/>
      <c r="J120" s="29"/>
      <c r="K120" s="28"/>
      <c r="L120" s="29"/>
      <c r="M120" s="29"/>
      <c r="N120" s="29"/>
      <c r="O120" s="219"/>
      <c r="P120" s="28"/>
      <c r="Q120" s="26"/>
      <c r="R120" s="26"/>
      <c r="S120" s="26"/>
      <c r="T120" s="26"/>
      <c r="U120" s="26"/>
      <c r="V120" s="26"/>
      <c r="W120" s="26"/>
      <c r="X120" s="28"/>
      <c r="Y120" s="26"/>
      <c r="Z120" s="243"/>
      <c r="AA120" s="28"/>
      <c r="AB120" s="29"/>
      <c r="AC120" s="28"/>
      <c r="AD120" s="29"/>
      <c r="AE120" s="28"/>
      <c r="AF120" s="29"/>
      <c r="AG120" s="31"/>
      <c r="AH120" s="31"/>
      <c r="AI120" s="34"/>
      <c r="AJ120" s="34">
        <v>4</v>
      </c>
      <c r="AK120" s="30"/>
      <c r="AL120" s="32"/>
      <c r="AM120" s="32"/>
      <c r="AN120" s="32"/>
      <c r="AO120" s="79"/>
      <c r="AP120" s="32"/>
      <c r="AQ120" s="32"/>
    </row>
    <row r="121" spans="1:43" ht="12.75">
      <c r="A121" s="26">
        <f t="shared" si="23"/>
        <v>5</v>
      </c>
      <c r="B121" s="27" t="s">
        <v>44</v>
      </c>
      <c r="C121" s="26">
        <v>108</v>
      </c>
      <c r="D121" s="26" t="s">
        <v>41</v>
      </c>
      <c r="E121" s="28">
        <f t="shared" si="24"/>
        <v>0</v>
      </c>
      <c r="F121" s="28">
        <f t="shared" si="22"/>
        <v>0</v>
      </c>
      <c r="G121" s="28"/>
      <c r="H121" s="29"/>
      <c r="I121" s="28"/>
      <c r="J121" s="29"/>
      <c r="K121" s="28"/>
      <c r="L121" s="29"/>
      <c r="M121" s="29"/>
      <c r="N121" s="29"/>
      <c r="O121" s="219"/>
      <c r="P121" s="28"/>
      <c r="Q121" s="26"/>
      <c r="R121" s="26"/>
      <c r="S121" s="26"/>
      <c r="T121" s="26"/>
      <c r="U121" s="26"/>
      <c r="V121" s="26">
        <v>10</v>
      </c>
      <c r="W121" s="26"/>
      <c r="X121" s="28"/>
      <c r="Y121" s="26"/>
      <c r="Z121" s="243"/>
      <c r="AA121" s="28"/>
      <c r="AB121" s="29"/>
      <c r="AC121" s="28"/>
      <c r="AD121" s="29"/>
      <c r="AE121" s="28"/>
      <c r="AF121" s="29"/>
      <c r="AG121" s="31"/>
      <c r="AH121" s="33"/>
      <c r="AI121" s="34"/>
      <c r="AJ121" s="34">
        <v>1</v>
      </c>
      <c r="AK121" s="30"/>
      <c r="AL121" s="32"/>
      <c r="AM121" s="32"/>
      <c r="AN121" s="32"/>
      <c r="AO121" s="79"/>
      <c r="AP121" s="32"/>
      <c r="AQ121" s="32"/>
    </row>
    <row r="122" spans="1:43" ht="12.75">
      <c r="A122" s="26">
        <f t="shared" si="23"/>
        <v>6</v>
      </c>
      <c r="B122" s="27" t="s">
        <v>44</v>
      </c>
      <c r="C122" s="26">
        <v>108</v>
      </c>
      <c r="D122" s="26"/>
      <c r="E122" s="28">
        <f t="shared" si="24"/>
        <v>0</v>
      </c>
      <c r="F122" s="28">
        <f t="shared" si="22"/>
        <v>0</v>
      </c>
      <c r="G122" s="28"/>
      <c r="H122" s="29"/>
      <c r="I122" s="28"/>
      <c r="J122" s="29"/>
      <c r="K122" s="28"/>
      <c r="L122" s="29"/>
      <c r="M122" s="29"/>
      <c r="N122" s="29"/>
      <c r="O122" s="219"/>
      <c r="P122" s="28"/>
      <c r="Q122" s="26"/>
      <c r="R122" s="26"/>
      <c r="S122" s="26"/>
      <c r="T122" s="26"/>
      <c r="U122" s="26"/>
      <c r="V122" s="26">
        <v>11</v>
      </c>
      <c r="W122" s="26"/>
      <c r="X122" s="28"/>
      <c r="Y122" s="26"/>
      <c r="Z122" s="243"/>
      <c r="AA122" s="28"/>
      <c r="AB122" s="29"/>
      <c r="AC122" s="28"/>
      <c r="AD122" s="29"/>
      <c r="AE122" s="28"/>
      <c r="AF122" s="29"/>
      <c r="AG122" s="31"/>
      <c r="AH122" s="33"/>
      <c r="AI122" s="34"/>
      <c r="AJ122" s="34">
        <v>1</v>
      </c>
      <c r="AK122" s="30"/>
      <c r="AL122" s="32"/>
      <c r="AM122" s="32"/>
      <c r="AN122" s="32"/>
      <c r="AO122" s="79"/>
      <c r="AP122" s="32"/>
      <c r="AQ122" s="32"/>
    </row>
    <row r="123" spans="1:43" ht="12.75">
      <c r="A123" s="26">
        <f t="shared" si="23"/>
        <v>7</v>
      </c>
      <c r="B123" s="27" t="s">
        <v>44</v>
      </c>
      <c r="C123" s="26">
        <v>112</v>
      </c>
      <c r="D123" s="26"/>
      <c r="E123" s="28">
        <f t="shared" si="24"/>
        <v>0</v>
      </c>
      <c r="F123" s="28">
        <f>E123-G123</f>
        <v>0</v>
      </c>
      <c r="G123" s="28"/>
      <c r="H123" s="29"/>
      <c r="I123" s="28"/>
      <c r="J123" s="29"/>
      <c r="K123" s="28"/>
      <c r="L123" s="29"/>
      <c r="M123" s="29"/>
      <c r="N123" s="29"/>
      <c r="O123" s="219"/>
      <c r="P123" s="28"/>
      <c r="Q123" s="26"/>
      <c r="R123" s="26"/>
      <c r="S123" s="26"/>
      <c r="T123" s="26"/>
      <c r="U123" s="26"/>
      <c r="V123" s="26">
        <v>3</v>
      </c>
      <c r="W123" s="26"/>
      <c r="X123" s="28"/>
      <c r="Y123" s="26"/>
      <c r="Z123" s="243"/>
      <c r="AA123" s="28"/>
      <c r="AB123" s="29"/>
      <c r="AC123" s="28"/>
      <c r="AD123" s="29"/>
      <c r="AE123" s="28"/>
      <c r="AF123" s="29"/>
      <c r="AG123" s="31"/>
      <c r="AH123" s="31"/>
      <c r="AI123" s="34"/>
      <c r="AJ123" s="34">
        <v>4</v>
      </c>
      <c r="AK123" s="30"/>
      <c r="AL123" s="32"/>
      <c r="AM123" s="32"/>
      <c r="AN123" s="32"/>
      <c r="AO123" s="79"/>
      <c r="AP123" s="32"/>
      <c r="AQ123" s="32"/>
    </row>
    <row r="124" spans="1:43" ht="12.75">
      <c r="A124" s="26">
        <f t="shared" si="23"/>
        <v>8</v>
      </c>
      <c r="B124" s="27" t="s">
        <v>44</v>
      </c>
      <c r="C124" s="26">
        <v>116</v>
      </c>
      <c r="D124" s="26"/>
      <c r="E124" s="28">
        <f t="shared" si="24"/>
        <v>0</v>
      </c>
      <c r="F124" s="28">
        <f aca="true" t="shared" si="25" ref="F124:F177">E124-G124</f>
        <v>0</v>
      </c>
      <c r="G124" s="28"/>
      <c r="H124" s="29"/>
      <c r="I124" s="28"/>
      <c r="J124" s="29"/>
      <c r="K124" s="28"/>
      <c r="L124" s="29"/>
      <c r="M124" s="29"/>
      <c r="N124" s="29"/>
      <c r="O124" s="219"/>
      <c r="P124" s="28"/>
      <c r="Q124" s="26"/>
      <c r="R124" s="26"/>
      <c r="S124" s="26"/>
      <c r="T124" s="26"/>
      <c r="U124" s="26"/>
      <c r="V124" s="26">
        <v>12</v>
      </c>
      <c r="W124" s="26"/>
      <c r="X124" s="28"/>
      <c r="Y124" s="26"/>
      <c r="Z124" s="243"/>
      <c r="AA124" s="28"/>
      <c r="AB124" s="29"/>
      <c r="AC124" s="28"/>
      <c r="AD124" s="29"/>
      <c r="AE124" s="28"/>
      <c r="AF124" s="29"/>
      <c r="AG124" s="31"/>
      <c r="AH124" s="31"/>
      <c r="AI124" s="34"/>
      <c r="AJ124" s="34">
        <v>1</v>
      </c>
      <c r="AK124" s="30"/>
      <c r="AL124" s="32"/>
      <c r="AM124" s="32"/>
      <c r="AN124" s="32"/>
      <c r="AO124" s="79"/>
      <c r="AP124" s="32"/>
      <c r="AQ124" s="32"/>
    </row>
    <row r="125" spans="1:43" ht="12.75">
      <c r="A125" s="26">
        <f t="shared" si="23"/>
        <v>9</v>
      </c>
      <c r="B125" s="27" t="s">
        <v>44</v>
      </c>
      <c r="C125" s="26">
        <v>118</v>
      </c>
      <c r="D125" s="26"/>
      <c r="E125" s="28">
        <f t="shared" si="24"/>
        <v>0</v>
      </c>
      <c r="F125" s="28">
        <f t="shared" si="25"/>
        <v>0</v>
      </c>
      <c r="G125" s="28"/>
      <c r="H125" s="29"/>
      <c r="I125" s="28"/>
      <c r="J125" s="29"/>
      <c r="K125" s="28"/>
      <c r="L125" s="29"/>
      <c r="M125" s="29"/>
      <c r="N125" s="29"/>
      <c r="O125" s="219"/>
      <c r="P125" s="28"/>
      <c r="Q125" s="26"/>
      <c r="R125" s="26"/>
      <c r="S125" s="26"/>
      <c r="T125" s="26"/>
      <c r="U125" s="26"/>
      <c r="V125" s="26">
        <v>10</v>
      </c>
      <c r="W125" s="26"/>
      <c r="X125" s="28"/>
      <c r="Y125" s="26"/>
      <c r="Z125" s="243"/>
      <c r="AA125" s="28"/>
      <c r="AB125" s="29"/>
      <c r="AC125" s="28"/>
      <c r="AD125" s="29"/>
      <c r="AE125" s="28"/>
      <c r="AF125" s="29"/>
      <c r="AG125" s="31"/>
      <c r="AH125" s="31"/>
      <c r="AI125" s="34"/>
      <c r="AJ125" s="34">
        <v>1</v>
      </c>
      <c r="AK125" s="30"/>
      <c r="AL125" s="32"/>
      <c r="AM125" s="32"/>
      <c r="AN125" s="32"/>
      <c r="AO125" s="79"/>
      <c r="AP125" s="32"/>
      <c r="AQ125" s="32"/>
    </row>
    <row r="126" spans="1:43" ht="12.75">
      <c r="A126" s="26">
        <f t="shared" si="23"/>
        <v>10</v>
      </c>
      <c r="B126" s="27" t="s">
        <v>44</v>
      </c>
      <c r="C126" s="26">
        <v>122</v>
      </c>
      <c r="D126" s="26"/>
      <c r="E126" s="28">
        <f t="shared" si="24"/>
        <v>0</v>
      </c>
      <c r="F126" s="28">
        <f t="shared" si="25"/>
        <v>0</v>
      </c>
      <c r="G126" s="28"/>
      <c r="H126" s="29"/>
      <c r="I126" s="28"/>
      <c r="J126" s="29"/>
      <c r="K126" s="28"/>
      <c r="L126" s="29"/>
      <c r="M126" s="29"/>
      <c r="N126" s="29"/>
      <c r="O126" s="219"/>
      <c r="P126" s="28"/>
      <c r="Q126" s="26"/>
      <c r="R126" s="26"/>
      <c r="S126" s="26"/>
      <c r="T126" s="26"/>
      <c r="U126" s="26"/>
      <c r="V126" s="26"/>
      <c r="W126" s="26"/>
      <c r="X126" s="28"/>
      <c r="Y126" s="26"/>
      <c r="Z126" s="243"/>
      <c r="AA126" s="28"/>
      <c r="AB126" s="29"/>
      <c r="AC126" s="28"/>
      <c r="AD126" s="29"/>
      <c r="AE126" s="28"/>
      <c r="AF126" s="29"/>
      <c r="AG126" s="31"/>
      <c r="AH126" s="31"/>
      <c r="AI126" s="34"/>
      <c r="AJ126" s="34">
        <v>4</v>
      </c>
      <c r="AK126" s="30"/>
      <c r="AL126" s="32"/>
      <c r="AM126" s="32"/>
      <c r="AN126" s="32"/>
      <c r="AO126" s="79"/>
      <c r="AP126" s="32"/>
      <c r="AQ126" s="32"/>
    </row>
    <row r="127" spans="1:43" ht="12.75">
      <c r="A127" s="26">
        <f t="shared" si="23"/>
        <v>11</v>
      </c>
      <c r="B127" s="27" t="s">
        <v>44</v>
      </c>
      <c r="C127" s="26">
        <v>124</v>
      </c>
      <c r="D127" s="26"/>
      <c r="E127" s="28">
        <f t="shared" si="24"/>
        <v>0</v>
      </c>
      <c r="F127" s="28">
        <f t="shared" si="25"/>
        <v>0</v>
      </c>
      <c r="G127" s="28"/>
      <c r="H127" s="29"/>
      <c r="I127" s="28"/>
      <c r="J127" s="29"/>
      <c r="K127" s="28"/>
      <c r="L127" s="29"/>
      <c r="M127" s="29"/>
      <c r="N127" s="29"/>
      <c r="O127" s="219"/>
      <c r="P127" s="28"/>
      <c r="Q127" s="26"/>
      <c r="R127" s="26"/>
      <c r="S127" s="26"/>
      <c r="T127" s="26"/>
      <c r="U127" s="26"/>
      <c r="V127" s="26">
        <v>8</v>
      </c>
      <c r="W127" s="26"/>
      <c r="X127" s="28"/>
      <c r="Y127" s="26"/>
      <c r="Z127" s="243"/>
      <c r="AA127" s="28"/>
      <c r="AB127" s="29"/>
      <c r="AC127" s="28"/>
      <c r="AD127" s="29"/>
      <c r="AE127" s="28"/>
      <c r="AF127" s="29"/>
      <c r="AG127" s="31"/>
      <c r="AH127" s="31"/>
      <c r="AI127" s="34"/>
      <c r="AJ127" s="34">
        <v>1</v>
      </c>
      <c r="AK127" s="30"/>
      <c r="AL127" s="32"/>
      <c r="AM127" s="32"/>
      <c r="AN127" s="32"/>
      <c r="AO127" s="79"/>
      <c r="AP127" s="32"/>
      <c r="AQ127" s="32"/>
    </row>
    <row r="128" spans="1:43" ht="12.75">
      <c r="A128" s="26">
        <f t="shared" si="23"/>
        <v>12</v>
      </c>
      <c r="B128" s="27" t="s">
        <v>44</v>
      </c>
      <c r="C128" s="26">
        <v>126</v>
      </c>
      <c r="D128" s="26"/>
      <c r="E128" s="28">
        <f t="shared" si="24"/>
        <v>0</v>
      </c>
      <c r="F128" s="28">
        <f t="shared" si="25"/>
        <v>0</v>
      </c>
      <c r="G128" s="28"/>
      <c r="H128" s="29"/>
      <c r="I128" s="28"/>
      <c r="J128" s="29"/>
      <c r="K128" s="28"/>
      <c r="L128" s="29"/>
      <c r="M128" s="29"/>
      <c r="N128" s="29"/>
      <c r="O128" s="219"/>
      <c r="P128" s="28"/>
      <c r="Q128" s="26"/>
      <c r="R128" s="26"/>
      <c r="S128" s="26"/>
      <c r="T128" s="26"/>
      <c r="U128" s="26"/>
      <c r="V128" s="26">
        <v>10</v>
      </c>
      <c r="W128" s="26"/>
      <c r="X128" s="28"/>
      <c r="Y128" s="26"/>
      <c r="Z128" s="243"/>
      <c r="AA128" s="28"/>
      <c r="AB128" s="29"/>
      <c r="AC128" s="28"/>
      <c r="AD128" s="29"/>
      <c r="AE128" s="28"/>
      <c r="AF128" s="29"/>
      <c r="AG128" s="31"/>
      <c r="AH128" s="31"/>
      <c r="AI128" s="34"/>
      <c r="AJ128" s="34">
        <v>1</v>
      </c>
      <c r="AK128" s="30"/>
      <c r="AL128" s="32"/>
      <c r="AM128" s="32"/>
      <c r="AN128" s="32"/>
      <c r="AO128" s="79"/>
      <c r="AP128" s="32"/>
      <c r="AQ128" s="32"/>
    </row>
    <row r="129" spans="1:43" ht="12.75">
      <c r="A129" s="26">
        <f t="shared" si="23"/>
        <v>13</v>
      </c>
      <c r="B129" s="27" t="s">
        <v>44</v>
      </c>
      <c r="C129" s="26">
        <v>132</v>
      </c>
      <c r="D129" s="26"/>
      <c r="E129" s="28">
        <f t="shared" si="24"/>
        <v>26.612</v>
      </c>
      <c r="F129" s="28">
        <f t="shared" si="25"/>
        <v>26.612</v>
      </c>
      <c r="G129" s="28"/>
      <c r="H129" s="29">
        <v>0.015</v>
      </c>
      <c r="I129" s="28">
        <f>H129*475</f>
        <v>7.125</v>
      </c>
      <c r="J129" s="29"/>
      <c r="K129" s="28"/>
      <c r="L129" s="29"/>
      <c r="M129" s="29"/>
      <c r="N129" s="29"/>
      <c r="O129" s="219"/>
      <c r="P129" s="28"/>
      <c r="Q129" s="26"/>
      <c r="R129" s="26"/>
      <c r="S129" s="26"/>
      <c r="T129" s="26"/>
      <c r="U129" s="26"/>
      <c r="V129" s="26">
        <v>4</v>
      </c>
      <c r="W129" s="26"/>
      <c r="X129" s="28"/>
      <c r="Y129" s="26"/>
      <c r="Z129" s="243" t="s">
        <v>152</v>
      </c>
      <c r="AA129" s="28">
        <f>0.25*13</f>
        <v>3.25</v>
      </c>
      <c r="AB129" s="243">
        <v>0.016</v>
      </c>
      <c r="AC129" s="28">
        <v>16.237</v>
      </c>
      <c r="AD129" s="29"/>
      <c r="AE129" s="28"/>
      <c r="AF129" s="29"/>
      <c r="AG129" s="31"/>
      <c r="AH129" s="31"/>
      <c r="AI129" s="34"/>
      <c r="AJ129" s="34">
        <v>1</v>
      </c>
      <c r="AK129" s="30"/>
      <c r="AL129" s="32"/>
      <c r="AM129" s="32">
        <v>1</v>
      </c>
      <c r="AN129" s="32"/>
      <c r="AO129" s="79"/>
      <c r="AP129" s="32"/>
      <c r="AQ129" s="32"/>
    </row>
    <row r="130" spans="1:43" ht="12.75">
      <c r="A130" s="26">
        <f t="shared" si="23"/>
        <v>14</v>
      </c>
      <c r="B130" s="27" t="s">
        <v>44</v>
      </c>
      <c r="C130" s="26">
        <v>138</v>
      </c>
      <c r="D130" s="26"/>
      <c r="E130" s="28">
        <f t="shared" si="24"/>
        <v>292.245</v>
      </c>
      <c r="F130" s="28">
        <f t="shared" si="25"/>
        <v>292.245</v>
      </c>
      <c r="G130" s="28"/>
      <c r="H130" s="29">
        <v>0.6</v>
      </c>
      <c r="I130" s="28">
        <f>H130*475</f>
        <v>285</v>
      </c>
      <c r="J130" s="29">
        <v>0.015</v>
      </c>
      <c r="K130" s="28">
        <f>J130*483</f>
        <v>7.245</v>
      </c>
      <c r="L130" s="29"/>
      <c r="M130" s="29"/>
      <c r="N130" s="29"/>
      <c r="O130" s="219"/>
      <c r="P130" s="28"/>
      <c r="Q130" s="26"/>
      <c r="R130" s="26"/>
      <c r="S130" s="26"/>
      <c r="T130" s="26"/>
      <c r="U130" s="26"/>
      <c r="V130" s="26">
        <v>10</v>
      </c>
      <c r="W130" s="26"/>
      <c r="X130" s="28"/>
      <c r="Y130" s="26"/>
      <c r="Z130" s="243"/>
      <c r="AA130" s="28"/>
      <c r="AB130" s="29"/>
      <c r="AC130" s="28"/>
      <c r="AD130" s="29"/>
      <c r="AE130" s="28"/>
      <c r="AF130" s="29"/>
      <c r="AG130" s="31"/>
      <c r="AH130" s="31"/>
      <c r="AI130" s="34"/>
      <c r="AJ130" s="34">
        <v>3</v>
      </c>
      <c r="AK130" s="30"/>
      <c r="AL130" s="32"/>
      <c r="AM130" s="32">
        <v>1</v>
      </c>
      <c r="AN130" s="32"/>
      <c r="AO130" s="79"/>
      <c r="AP130" s="32"/>
      <c r="AQ130" s="32"/>
    </row>
    <row r="131" spans="1:43" ht="12.75">
      <c r="A131" s="26">
        <f t="shared" si="23"/>
        <v>15</v>
      </c>
      <c r="B131" s="27" t="s">
        <v>44</v>
      </c>
      <c r="C131" s="26">
        <v>138</v>
      </c>
      <c r="D131" s="26" t="s">
        <v>41</v>
      </c>
      <c r="E131" s="28">
        <f t="shared" si="24"/>
        <v>9.5</v>
      </c>
      <c r="F131" s="28">
        <f t="shared" si="25"/>
        <v>9.5</v>
      </c>
      <c r="G131" s="28"/>
      <c r="H131" s="29">
        <v>0.02</v>
      </c>
      <c r="I131" s="28">
        <f>H131*475</f>
        <v>9.5</v>
      </c>
      <c r="J131" s="29"/>
      <c r="K131" s="28"/>
      <c r="L131" s="29"/>
      <c r="M131" s="29"/>
      <c r="N131" s="29"/>
      <c r="O131" s="219"/>
      <c r="P131" s="28"/>
      <c r="Q131" s="26"/>
      <c r="R131" s="26"/>
      <c r="S131" s="26"/>
      <c r="T131" s="26"/>
      <c r="U131" s="26"/>
      <c r="V131" s="26">
        <v>18</v>
      </c>
      <c r="W131" s="26"/>
      <c r="X131" s="28"/>
      <c r="Y131" s="26"/>
      <c r="Z131" s="243"/>
      <c r="AA131" s="28"/>
      <c r="AB131" s="29"/>
      <c r="AC131" s="28"/>
      <c r="AD131" s="29"/>
      <c r="AE131" s="28"/>
      <c r="AF131" s="29"/>
      <c r="AG131" s="31"/>
      <c r="AH131" s="31"/>
      <c r="AI131" s="34"/>
      <c r="AJ131" s="34">
        <v>6</v>
      </c>
      <c r="AK131" s="30"/>
      <c r="AL131" s="32"/>
      <c r="AM131" s="32">
        <v>1</v>
      </c>
      <c r="AN131" s="32"/>
      <c r="AO131" s="79"/>
      <c r="AP131" s="32"/>
      <c r="AQ131" s="32"/>
    </row>
    <row r="132" spans="1:43" ht="12.75">
      <c r="A132" s="26">
        <f t="shared" si="23"/>
        <v>16</v>
      </c>
      <c r="B132" s="27" t="s">
        <v>44</v>
      </c>
      <c r="C132" s="26">
        <v>140</v>
      </c>
      <c r="D132" s="26"/>
      <c r="E132" s="28">
        <f t="shared" si="24"/>
        <v>9</v>
      </c>
      <c r="F132" s="28">
        <f t="shared" si="25"/>
        <v>9</v>
      </c>
      <c r="G132" s="28"/>
      <c r="H132" s="29"/>
      <c r="I132" s="28"/>
      <c r="J132" s="29"/>
      <c r="K132" s="28"/>
      <c r="L132" s="29"/>
      <c r="M132" s="29"/>
      <c r="N132" s="29"/>
      <c r="O132" s="219"/>
      <c r="P132" s="28"/>
      <c r="Q132" s="26"/>
      <c r="R132" s="26"/>
      <c r="S132" s="26"/>
      <c r="T132" s="26"/>
      <c r="U132" s="26"/>
      <c r="V132" s="26">
        <v>8</v>
      </c>
      <c r="W132" s="26"/>
      <c r="X132" s="28"/>
      <c r="Y132" s="26"/>
      <c r="Z132" s="243" t="s">
        <v>153</v>
      </c>
      <c r="AA132" s="28">
        <f>3*3</f>
        <v>9</v>
      </c>
      <c r="AB132" s="29"/>
      <c r="AC132" s="28"/>
      <c r="AD132" s="29"/>
      <c r="AE132" s="28"/>
      <c r="AF132" s="29"/>
      <c r="AG132" s="31"/>
      <c r="AH132" s="31"/>
      <c r="AI132" s="34">
        <v>2</v>
      </c>
      <c r="AJ132" s="34">
        <v>2</v>
      </c>
      <c r="AK132" s="30"/>
      <c r="AL132" s="32"/>
      <c r="AM132" s="32">
        <v>1</v>
      </c>
      <c r="AN132" s="32"/>
      <c r="AO132" s="79"/>
      <c r="AP132" s="32"/>
      <c r="AQ132" s="32"/>
    </row>
    <row r="133" spans="1:43" ht="12.75">
      <c r="A133" s="26">
        <f t="shared" si="23"/>
        <v>17</v>
      </c>
      <c r="B133" s="27" t="s">
        <v>76</v>
      </c>
      <c r="C133" s="26">
        <v>2</v>
      </c>
      <c r="D133" s="26" t="s">
        <v>40</v>
      </c>
      <c r="E133" s="28">
        <f t="shared" si="24"/>
        <v>0</v>
      </c>
      <c r="F133" s="28">
        <f t="shared" si="25"/>
        <v>0</v>
      </c>
      <c r="G133" s="28"/>
      <c r="H133" s="29"/>
      <c r="I133" s="28"/>
      <c r="J133" s="29"/>
      <c r="K133" s="28"/>
      <c r="L133" s="29"/>
      <c r="M133" s="29"/>
      <c r="N133" s="29"/>
      <c r="O133" s="219"/>
      <c r="P133" s="28"/>
      <c r="Q133" s="26"/>
      <c r="R133" s="26"/>
      <c r="S133" s="26"/>
      <c r="T133" s="26"/>
      <c r="U133" s="26"/>
      <c r="V133" s="26">
        <v>2</v>
      </c>
      <c r="W133" s="26"/>
      <c r="X133" s="28"/>
      <c r="Y133" s="26"/>
      <c r="Z133" s="243"/>
      <c r="AA133" s="28"/>
      <c r="AB133" s="29"/>
      <c r="AC133" s="28"/>
      <c r="AD133" s="29"/>
      <c r="AE133" s="28"/>
      <c r="AF133" s="29"/>
      <c r="AG133" s="28"/>
      <c r="AH133" s="31"/>
      <c r="AI133" s="34">
        <v>2</v>
      </c>
      <c r="AJ133" s="34">
        <v>2</v>
      </c>
      <c r="AK133" s="30"/>
      <c r="AL133" s="32"/>
      <c r="AM133" s="32"/>
      <c r="AN133" s="32"/>
      <c r="AO133" s="79"/>
      <c r="AP133" s="32"/>
      <c r="AQ133" s="32"/>
    </row>
    <row r="134" spans="1:43" ht="12.75">
      <c r="A134" s="26">
        <f t="shared" si="23"/>
        <v>18</v>
      </c>
      <c r="B134" s="27" t="s">
        <v>76</v>
      </c>
      <c r="C134" s="26">
        <v>2</v>
      </c>
      <c r="D134" s="26"/>
      <c r="E134" s="28">
        <f t="shared" si="24"/>
        <v>35.905</v>
      </c>
      <c r="F134" s="28">
        <f t="shared" si="25"/>
        <v>35.905</v>
      </c>
      <c r="G134" s="28"/>
      <c r="H134" s="29">
        <v>0.04</v>
      </c>
      <c r="I134" s="28">
        <f>H134*475</f>
        <v>19</v>
      </c>
      <c r="J134" s="29">
        <v>0.035</v>
      </c>
      <c r="K134" s="28">
        <f>J134*483</f>
        <v>16.905</v>
      </c>
      <c r="L134" s="29"/>
      <c r="M134" s="29"/>
      <c r="N134" s="29"/>
      <c r="O134" s="219"/>
      <c r="P134" s="28"/>
      <c r="Q134" s="26"/>
      <c r="R134" s="26"/>
      <c r="S134" s="26"/>
      <c r="T134" s="26"/>
      <c r="U134" s="26"/>
      <c r="V134" s="26"/>
      <c r="W134" s="26"/>
      <c r="X134" s="28"/>
      <c r="Y134" s="26"/>
      <c r="Z134" s="243"/>
      <c r="AA134" s="28"/>
      <c r="AB134" s="29"/>
      <c r="AC134" s="28"/>
      <c r="AD134" s="29"/>
      <c r="AE134" s="28"/>
      <c r="AF134" s="29"/>
      <c r="AG134" s="31"/>
      <c r="AH134" s="31"/>
      <c r="AI134" s="34"/>
      <c r="AJ134" s="34">
        <v>4</v>
      </c>
      <c r="AK134" s="30"/>
      <c r="AL134" s="32"/>
      <c r="AM134" s="32">
        <v>1</v>
      </c>
      <c r="AN134" s="32"/>
      <c r="AO134" s="79"/>
      <c r="AP134" s="32"/>
      <c r="AQ134" s="32"/>
    </row>
    <row r="135" spans="1:43" ht="12.75">
      <c r="A135" s="26">
        <f t="shared" si="23"/>
        <v>19</v>
      </c>
      <c r="B135" s="27" t="s">
        <v>76</v>
      </c>
      <c r="C135" s="26">
        <v>5</v>
      </c>
      <c r="D135" s="26"/>
      <c r="E135" s="28">
        <f t="shared" si="24"/>
        <v>16.125</v>
      </c>
      <c r="F135" s="28">
        <f t="shared" si="25"/>
        <v>16.125</v>
      </c>
      <c r="G135" s="28"/>
      <c r="H135" s="29">
        <v>0.015</v>
      </c>
      <c r="I135" s="28">
        <f>H135*475</f>
        <v>7.125</v>
      </c>
      <c r="J135" s="29"/>
      <c r="K135" s="28"/>
      <c r="L135" s="29"/>
      <c r="M135" s="29"/>
      <c r="N135" s="29"/>
      <c r="O135" s="219"/>
      <c r="P135" s="28"/>
      <c r="Q135" s="26"/>
      <c r="R135" s="26"/>
      <c r="S135" s="26">
        <v>4</v>
      </c>
      <c r="T135" s="26"/>
      <c r="U135" s="26"/>
      <c r="V135" s="26"/>
      <c r="W135" s="26"/>
      <c r="X135" s="28"/>
      <c r="Y135" s="26"/>
      <c r="Z135" s="243" t="s">
        <v>153</v>
      </c>
      <c r="AA135" s="28">
        <v>9</v>
      </c>
      <c r="AB135" s="29"/>
      <c r="AC135" s="28"/>
      <c r="AD135" s="29"/>
      <c r="AE135" s="28"/>
      <c r="AF135" s="29"/>
      <c r="AG135" s="28"/>
      <c r="AH135" s="31"/>
      <c r="AI135" s="34">
        <v>1</v>
      </c>
      <c r="AJ135" s="34">
        <v>4</v>
      </c>
      <c r="AK135" s="30"/>
      <c r="AL135" s="32"/>
      <c r="AM135" s="32"/>
      <c r="AN135" s="32"/>
      <c r="AO135" s="79"/>
      <c r="AP135" s="32"/>
      <c r="AQ135" s="32"/>
    </row>
    <row r="136" spans="1:43" ht="12.75">
      <c r="A136" s="26">
        <f t="shared" si="23"/>
        <v>20</v>
      </c>
      <c r="B136" s="27" t="s">
        <v>76</v>
      </c>
      <c r="C136" s="26">
        <v>7</v>
      </c>
      <c r="D136" s="26"/>
      <c r="E136" s="28">
        <f t="shared" si="24"/>
        <v>40.293</v>
      </c>
      <c r="F136" s="28">
        <f t="shared" si="25"/>
        <v>40.293</v>
      </c>
      <c r="G136" s="28"/>
      <c r="H136" s="29"/>
      <c r="I136" s="28"/>
      <c r="J136" s="29">
        <v>0.071</v>
      </c>
      <c r="K136" s="28">
        <f>J136*483</f>
        <v>34.293</v>
      </c>
      <c r="L136" s="29"/>
      <c r="M136" s="29"/>
      <c r="N136" s="29"/>
      <c r="O136" s="219"/>
      <c r="P136" s="28"/>
      <c r="Q136" s="26"/>
      <c r="R136" s="26"/>
      <c r="S136" s="26">
        <v>2</v>
      </c>
      <c r="T136" s="26"/>
      <c r="U136" s="26"/>
      <c r="V136" s="26"/>
      <c r="W136" s="26"/>
      <c r="X136" s="28"/>
      <c r="Y136" s="26"/>
      <c r="Z136" s="243" t="s">
        <v>154</v>
      </c>
      <c r="AA136" s="28">
        <v>6</v>
      </c>
      <c r="AB136" s="29"/>
      <c r="AC136" s="28"/>
      <c r="AD136" s="29"/>
      <c r="AE136" s="28"/>
      <c r="AF136" s="29"/>
      <c r="AG136" s="31"/>
      <c r="AH136" s="31"/>
      <c r="AI136" s="34">
        <v>1</v>
      </c>
      <c r="AJ136" s="34">
        <v>2</v>
      </c>
      <c r="AK136" s="30"/>
      <c r="AL136" s="32"/>
      <c r="AM136" s="32">
        <v>1</v>
      </c>
      <c r="AN136" s="32"/>
      <c r="AO136" s="79"/>
      <c r="AP136" s="32"/>
      <c r="AQ136" s="32"/>
    </row>
    <row r="137" spans="1:43" ht="12.75">
      <c r="A137" s="26">
        <f t="shared" si="23"/>
        <v>21</v>
      </c>
      <c r="B137" s="27" t="s">
        <v>77</v>
      </c>
      <c r="C137" s="26">
        <v>1</v>
      </c>
      <c r="D137" s="26" t="s">
        <v>40</v>
      </c>
      <c r="E137" s="28">
        <f t="shared" si="24"/>
        <v>0</v>
      </c>
      <c r="F137" s="28">
        <f t="shared" si="25"/>
        <v>0</v>
      </c>
      <c r="G137" s="28"/>
      <c r="H137" s="29"/>
      <c r="I137" s="28"/>
      <c r="J137" s="29"/>
      <c r="K137" s="28"/>
      <c r="L137" s="29"/>
      <c r="M137" s="29"/>
      <c r="N137" s="29"/>
      <c r="O137" s="219"/>
      <c r="P137" s="28">
        <f>O137*1100</f>
        <v>0</v>
      </c>
      <c r="Q137" s="26"/>
      <c r="R137" s="26"/>
      <c r="S137" s="26"/>
      <c r="T137" s="26"/>
      <c r="U137" s="26"/>
      <c r="V137" s="26">
        <v>1</v>
      </c>
      <c r="W137" s="26"/>
      <c r="X137" s="28"/>
      <c r="Y137" s="26"/>
      <c r="Z137" s="243"/>
      <c r="AA137" s="28"/>
      <c r="AB137" s="29"/>
      <c r="AC137" s="28"/>
      <c r="AD137" s="29"/>
      <c r="AE137" s="28"/>
      <c r="AF137" s="29"/>
      <c r="AG137" s="28"/>
      <c r="AH137" s="31"/>
      <c r="AI137" s="34">
        <v>2</v>
      </c>
      <c r="AJ137" s="34">
        <v>2</v>
      </c>
      <c r="AK137" s="30"/>
      <c r="AL137" s="32"/>
      <c r="AM137" s="32">
        <v>1</v>
      </c>
      <c r="AN137" s="32"/>
      <c r="AO137" s="79"/>
      <c r="AP137" s="32"/>
      <c r="AQ137" s="32"/>
    </row>
    <row r="138" spans="1:43" ht="12.75">
      <c r="A138" s="26">
        <f t="shared" si="23"/>
        <v>22</v>
      </c>
      <c r="B138" s="27" t="s">
        <v>77</v>
      </c>
      <c r="C138" s="26">
        <v>6</v>
      </c>
      <c r="D138" s="26"/>
      <c r="E138" s="28">
        <f t="shared" si="24"/>
        <v>14.25</v>
      </c>
      <c r="F138" s="28">
        <f t="shared" si="25"/>
        <v>14.25</v>
      </c>
      <c r="G138" s="28"/>
      <c r="H138" s="29">
        <v>0.03</v>
      </c>
      <c r="I138" s="28">
        <f>H138*475</f>
        <v>14.25</v>
      </c>
      <c r="J138" s="29"/>
      <c r="K138" s="28"/>
      <c r="L138" s="29"/>
      <c r="M138" s="29"/>
      <c r="N138" s="29"/>
      <c r="O138" s="219"/>
      <c r="P138" s="28"/>
      <c r="Q138" s="26"/>
      <c r="R138" s="26"/>
      <c r="S138" s="26">
        <v>1</v>
      </c>
      <c r="T138" s="26"/>
      <c r="U138" s="26"/>
      <c r="V138" s="26">
        <v>2</v>
      </c>
      <c r="W138" s="26"/>
      <c r="X138" s="28"/>
      <c r="Y138" s="26"/>
      <c r="Z138" s="243"/>
      <c r="AA138" s="28"/>
      <c r="AB138" s="29"/>
      <c r="AC138" s="28"/>
      <c r="AD138" s="29"/>
      <c r="AE138" s="28"/>
      <c r="AF138" s="29"/>
      <c r="AG138" s="28"/>
      <c r="AH138" s="31"/>
      <c r="AI138" s="34">
        <v>1</v>
      </c>
      <c r="AJ138" s="34">
        <v>2</v>
      </c>
      <c r="AK138" s="30"/>
      <c r="AL138" s="32"/>
      <c r="AM138" s="32">
        <v>1</v>
      </c>
      <c r="AN138" s="32"/>
      <c r="AO138" s="79"/>
      <c r="AP138" s="32"/>
      <c r="AQ138" s="32"/>
    </row>
    <row r="139" spans="1:43" ht="12.75">
      <c r="A139" s="26">
        <f t="shared" si="23"/>
        <v>23</v>
      </c>
      <c r="B139" s="27" t="s">
        <v>77</v>
      </c>
      <c r="C139" s="26">
        <v>8</v>
      </c>
      <c r="D139" s="26"/>
      <c r="E139" s="28">
        <f t="shared" si="24"/>
        <v>6</v>
      </c>
      <c r="F139" s="28">
        <f t="shared" si="25"/>
        <v>6</v>
      </c>
      <c r="G139" s="28"/>
      <c r="H139" s="29"/>
      <c r="I139" s="28"/>
      <c r="J139" s="29"/>
      <c r="K139" s="28"/>
      <c r="L139" s="29"/>
      <c r="M139" s="29"/>
      <c r="N139" s="29"/>
      <c r="O139" s="219"/>
      <c r="P139" s="28">
        <f>O139*1100</f>
        <v>0</v>
      </c>
      <c r="Q139" s="26"/>
      <c r="R139" s="26"/>
      <c r="S139" s="26"/>
      <c r="T139" s="26"/>
      <c r="U139" s="26"/>
      <c r="V139" s="26">
        <v>2</v>
      </c>
      <c r="W139" s="26"/>
      <c r="X139" s="28"/>
      <c r="Y139" s="26"/>
      <c r="Z139" s="243" t="s">
        <v>154</v>
      </c>
      <c r="AA139" s="28">
        <v>6</v>
      </c>
      <c r="AB139" s="29"/>
      <c r="AC139" s="28"/>
      <c r="AD139" s="29"/>
      <c r="AE139" s="28"/>
      <c r="AF139" s="29"/>
      <c r="AG139" s="31"/>
      <c r="AH139" s="31"/>
      <c r="AI139" s="34">
        <v>1</v>
      </c>
      <c r="AJ139" s="34">
        <v>3</v>
      </c>
      <c r="AK139" s="30"/>
      <c r="AL139" s="32"/>
      <c r="AM139" s="32">
        <v>1</v>
      </c>
      <c r="AN139" s="32"/>
      <c r="AO139" s="79"/>
      <c r="AP139" s="32"/>
      <c r="AQ139" s="32"/>
    </row>
    <row r="140" spans="1:43" ht="12.75">
      <c r="A140" s="26">
        <f t="shared" si="23"/>
        <v>24</v>
      </c>
      <c r="B140" s="27" t="s">
        <v>77</v>
      </c>
      <c r="C140" s="26">
        <v>33</v>
      </c>
      <c r="D140" s="26" t="s">
        <v>41</v>
      </c>
      <c r="E140" s="28">
        <f t="shared" si="24"/>
        <v>6</v>
      </c>
      <c r="F140" s="28">
        <f t="shared" si="25"/>
        <v>6</v>
      </c>
      <c r="G140" s="28"/>
      <c r="H140" s="29"/>
      <c r="I140" s="28"/>
      <c r="J140" s="29"/>
      <c r="K140" s="28"/>
      <c r="L140" s="29"/>
      <c r="M140" s="29"/>
      <c r="N140" s="29"/>
      <c r="O140" s="219"/>
      <c r="P140" s="28"/>
      <c r="Q140" s="26"/>
      <c r="R140" s="26"/>
      <c r="S140" s="26">
        <v>6</v>
      </c>
      <c r="T140" s="26"/>
      <c r="U140" s="26"/>
      <c r="V140" s="26">
        <v>12</v>
      </c>
      <c r="W140" s="26"/>
      <c r="X140" s="28"/>
      <c r="Y140" s="26"/>
      <c r="Z140" s="243" t="s">
        <v>154</v>
      </c>
      <c r="AA140" s="28">
        <v>6</v>
      </c>
      <c r="AB140" s="29"/>
      <c r="AC140" s="28"/>
      <c r="AD140" s="29"/>
      <c r="AE140" s="28"/>
      <c r="AF140" s="29"/>
      <c r="AG140" s="31"/>
      <c r="AH140" s="31"/>
      <c r="AI140" s="34">
        <v>1</v>
      </c>
      <c r="AJ140" s="34">
        <v>1</v>
      </c>
      <c r="AK140" s="30"/>
      <c r="AL140" s="32"/>
      <c r="AM140" s="32">
        <v>1</v>
      </c>
      <c r="AN140" s="32"/>
      <c r="AO140" s="79"/>
      <c r="AP140" s="32"/>
      <c r="AQ140" s="32"/>
    </row>
    <row r="141" spans="1:43" ht="12.75">
      <c r="A141" s="26">
        <f t="shared" si="23"/>
        <v>25</v>
      </c>
      <c r="B141" s="27" t="s">
        <v>53</v>
      </c>
      <c r="C141" s="26">
        <v>11</v>
      </c>
      <c r="D141" s="26"/>
      <c r="E141" s="28">
        <f t="shared" si="24"/>
        <v>138.86700000000002</v>
      </c>
      <c r="F141" s="28">
        <f t="shared" si="25"/>
        <v>138.86700000000002</v>
      </c>
      <c r="G141" s="28"/>
      <c r="H141" s="29">
        <v>0.09</v>
      </c>
      <c r="I141" s="28">
        <f>H141*475</f>
        <v>42.75</v>
      </c>
      <c r="J141" s="29">
        <v>0.199</v>
      </c>
      <c r="K141" s="28">
        <f>J141*483</f>
        <v>96.117</v>
      </c>
      <c r="L141" s="29"/>
      <c r="M141" s="29"/>
      <c r="N141" s="29"/>
      <c r="O141" s="219"/>
      <c r="P141" s="28"/>
      <c r="Q141" s="26"/>
      <c r="R141" s="26"/>
      <c r="S141" s="26"/>
      <c r="T141" s="26"/>
      <c r="U141" s="26"/>
      <c r="V141" s="26">
        <v>36</v>
      </c>
      <c r="W141" s="26"/>
      <c r="X141" s="28"/>
      <c r="Y141" s="26"/>
      <c r="Z141" s="243"/>
      <c r="AA141" s="28"/>
      <c r="AB141" s="29"/>
      <c r="AC141" s="28"/>
      <c r="AD141" s="29"/>
      <c r="AE141" s="28"/>
      <c r="AF141" s="29"/>
      <c r="AG141" s="28"/>
      <c r="AH141" s="31"/>
      <c r="AI141" s="34"/>
      <c r="AJ141" s="34">
        <v>8</v>
      </c>
      <c r="AK141" s="30"/>
      <c r="AL141" s="32"/>
      <c r="AM141" s="32">
        <v>1</v>
      </c>
      <c r="AN141" s="32"/>
      <c r="AO141" s="79"/>
      <c r="AP141" s="32"/>
      <c r="AQ141" s="32"/>
    </row>
    <row r="142" spans="1:43" ht="12.75">
      <c r="A142" s="26">
        <f t="shared" si="23"/>
        <v>26</v>
      </c>
      <c r="B142" s="27" t="s">
        <v>53</v>
      </c>
      <c r="C142" s="26">
        <v>15</v>
      </c>
      <c r="D142" s="26" t="s">
        <v>41</v>
      </c>
      <c r="E142" s="28">
        <f t="shared" si="24"/>
        <v>6</v>
      </c>
      <c r="F142" s="28">
        <f t="shared" si="25"/>
        <v>6</v>
      </c>
      <c r="G142" s="28"/>
      <c r="H142" s="29"/>
      <c r="I142" s="28"/>
      <c r="J142" s="29"/>
      <c r="K142" s="28"/>
      <c r="L142" s="29"/>
      <c r="M142" s="29"/>
      <c r="N142" s="29"/>
      <c r="O142" s="219"/>
      <c r="P142" s="28"/>
      <c r="Q142" s="26"/>
      <c r="R142" s="26"/>
      <c r="S142" s="26"/>
      <c r="T142" s="26"/>
      <c r="U142" s="26"/>
      <c r="V142" s="26">
        <v>8</v>
      </c>
      <c r="W142" s="26"/>
      <c r="X142" s="28"/>
      <c r="Y142" s="26"/>
      <c r="Z142" s="243" t="s">
        <v>154</v>
      </c>
      <c r="AA142" s="28">
        <v>6</v>
      </c>
      <c r="AB142" s="29"/>
      <c r="AC142" s="28"/>
      <c r="AD142" s="29"/>
      <c r="AE142" s="28"/>
      <c r="AF142" s="29"/>
      <c r="AG142" s="31"/>
      <c r="AH142" s="31"/>
      <c r="AI142" s="34">
        <v>1</v>
      </c>
      <c r="AJ142" s="34">
        <v>1</v>
      </c>
      <c r="AK142" s="30"/>
      <c r="AL142" s="32"/>
      <c r="AM142" s="32">
        <v>1</v>
      </c>
      <c r="AN142" s="32"/>
      <c r="AO142" s="79"/>
      <c r="AP142" s="32"/>
      <c r="AQ142" s="32"/>
    </row>
    <row r="143" spans="1:43" ht="12.75">
      <c r="A143" s="26">
        <f t="shared" si="23"/>
        <v>27</v>
      </c>
      <c r="B143" s="27" t="s">
        <v>53</v>
      </c>
      <c r="C143" s="26">
        <v>15</v>
      </c>
      <c r="D143" s="26"/>
      <c r="E143" s="28">
        <f t="shared" si="24"/>
        <v>0</v>
      </c>
      <c r="F143" s="28">
        <f t="shared" si="25"/>
        <v>0</v>
      </c>
      <c r="G143" s="28"/>
      <c r="H143" s="29"/>
      <c r="I143" s="28"/>
      <c r="J143" s="29"/>
      <c r="K143" s="28"/>
      <c r="L143" s="29"/>
      <c r="M143" s="29"/>
      <c r="N143" s="29"/>
      <c r="O143" s="219"/>
      <c r="P143" s="28"/>
      <c r="Q143" s="26"/>
      <c r="R143" s="26"/>
      <c r="S143" s="26">
        <v>1</v>
      </c>
      <c r="T143" s="26"/>
      <c r="U143" s="26"/>
      <c r="V143" s="26">
        <v>8</v>
      </c>
      <c r="W143" s="26"/>
      <c r="X143" s="28"/>
      <c r="Y143" s="26"/>
      <c r="Z143" s="243"/>
      <c r="AA143" s="28"/>
      <c r="AB143" s="29"/>
      <c r="AC143" s="28"/>
      <c r="AD143" s="29"/>
      <c r="AE143" s="28"/>
      <c r="AF143" s="29"/>
      <c r="AG143" s="31"/>
      <c r="AH143" s="31"/>
      <c r="AI143" s="34">
        <v>1</v>
      </c>
      <c r="AJ143" s="34">
        <v>1</v>
      </c>
      <c r="AK143" s="30"/>
      <c r="AL143" s="32"/>
      <c r="AM143" s="32"/>
      <c r="AN143" s="32"/>
      <c r="AO143" s="79"/>
      <c r="AP143" s="32"/>
      <c r="AQ143" s="32"/>
    </row>
    <row r="144" spans="1:43" ht="12.75">
      <c r="A144" s="26">
        <f t="shared" si="23"/>
        <v>28</v>
      </c>
      <c r="B144" s="27" t="s">
        <v>53</v>
      </c>
      <c r="C144" s="26">
        <v>17</v>
      </c>
      <c r="D144" s="26"/>
      <c r="E144" s="28">
        <f t="shared" si="24"/>
        <v>88.696</v>
      </c>
      <c r="F144" s="28">
        <f t="shared" si="25"/>
        <v>88.696</v>
      </c>
      <c r="G144" s="28"/>
      <c r="H144" s="29">
        <v>0.12</v>
      </c>
      <c r="I144" s="28">
        <f>H144*475</f>
        <v>57</v>
      </c>
      <c r="J144" s="29">
        <v>0.062</v>
      </c>
      <c r="K144" s="28">
        <f>J144*483</f>
        <v>29.946</v>
      </c>
      <c r="L144" s="29"/>
      <c r="M144" s="29"/>
      <c r="N144" s="29"/>
      <c r="O144" s="219"/>
      <c r="P144" s="28"/>
      <c r="Q144" s="26"/>
      <c r="R144" s="26"/>
      <c r="S144" s="26">
        <v>1</v>
      </c>
      <c r="T144" s="26"/>
      <c r="U144" s="26"/>
      <c r="V144" s="26">
        <v>52</v>
      </c>
      <c r="W144" s="26"/>
      <c r="X144" s="28"/>
      <c r="Y144" s="26"/>
      <c r="Z144" s="243" t="s">
        <v>155</v>
      </c>
      <c r="AA144" s="28">
        <f>7*0.25</f>
        <v>1.75</v>
      </c>
      <c r="AB144" s="29"/>
      <c r="AC144" s="28"/>
      <c r="AD144" s="29"/>
      <c r="AE144" s="28"/>
      <c r="AF144" s="29"/>
      <c r="AG144" s="31"/>
      <c r="AH144" s="31"/>
      <c r="AI144" s="34"/>
      <c r="AJ144" s="34">
        <v>8</v>
      </c>
      <c r="AK144" s="30"/>
      <c r="AL144" s="32"/>
      <c r="AM144" s="32">
        <v>1</v>
      </c>
      <c r="AN144" s="32"/>
      <c r="AO144" s="79"/>
      <c r="AP144" s="32"/>
      <c r="AQ144" s="32"/>
    </row>
    <row r="145" spans="1:43" ht="12.75">
      <c r="A145" s="26">
        <f t="shared" si="23"/>
        <v>29</v>
      </c>
      <c r="B145" s="27" t="s">
        <v>78</v>
      </c>
      <c r="C145" s="26">
        <v>1</v>
      </c>
      <c r="D145" s="26"/>
      <c r="E145" s="28">
        <f t="shared" si="24"/>
        <v>37.674</v>
      </c>
      <c r="F145" s="28">
        <f t="shared" si="25"/>
        <v>37.674</v>
      </c>
      <c r="G145" s="28"/>
      <c r="H145" s="29"/>
      <c r="I145" s="28"/>
      <c r="J145" s="29">
        <v>0.078</v>
      </c>
      <c r="K145" s="28">
        <f>J145*483</f>
        <v>37.674</v>
      </c>
      <c r="L145" s="29"/>
      <c r="M145" s="29"/>
      <c r="N145" s="29"/>
      <c r="O145" s="219"/>
      <c r="P145" s="28"/>
      <c r="Q145" s="26"/>
      <c r="R145" s="26"/>
      <c r="S145" s="26">
        <v>1</v>
      </c>
      <c r="T145" s="26"/>
      <c r="U145" s="26"/>
      <c r="V145" s="26">
        <v>56</v>
      </c>
      <c r="W145" s="26"/>
      <c r="X145" s="28"/>
      <c r="Y145" s="26"/>
      <c r="Z145" s="243"/>
      <c r="AA145" s="28"/>
      <c r="AB145" s="29"/>
      <c r="AC145" s="28"/>
      <c r="AD145" s="29"/>
      <c r="AE145" s="28"/>
      <c r="AF145" s="29"/>
      <c r="AG145" s="31"/>
      <c r="AH145" s="31"/>
      <c r="AI145" s="34"/>
      <c r="AJ145" s="34">
        <v>9</v>
      </c>
      <c r="AK145" s="30"/>
      <c r="AL145" s="32"/>
      <c r="AM145" s="32">
        <v>1</v>
      </c>
      <c r="AN145" s="32"/>
      <c r="AO145" s="79"/>
      <c r="AP145" s="32"/>
      <c r="AQ145" s="32"/>
    </row>
    <row r="146" spans="1:43" ht="26.25" customHeight="1">
      <c r="A146" s="26">
        <f t="shared" si="23"/>
        <v>30</v>
      </c>
      <c r="B146" s="27" t="s">
        <v>78</v>
      </c>
      <c r="C146" s="26">
        <v>2</v>
      </c>
      <c r="D146" s="26"/>
      <c r="E146" s="28">
        <f t="shared" si="24"/>
        <v>46.099999999999994</v>
      </c>
      <c r="F146" s="28">
        <f t="shared" si="25"/>
        <v>46.099999999999994</v>
      </c>
      <c r="G146" s="28"/>
      <c r="H146" s="29"/>
      <c r="I146" s="28"/>
      <c r="J146" s="29">
        <v>0.024</v>
      </c>
      <c r="K146" s="28">
        <f>J146*483</f>
        <v>11.592</v>
      </c>
      <c r="L146" s="29"/>
      <c r="M146" s="29"/>
      <c r="N146" s="29"/>
      <c r="O146" s="219"/>
      <c r="P146" s="28"/>
      <c r="Q146" s="26"/>
      <c r="R146" s="26"/>
      <c r="S146" s="26">
        <v>4</v>
      </c>
      <c r="T146" s="26"/>
      <c r="U146" s="26"/>
      <c r="V146" s="26">
        <v>38</v>
      </c>
      <c r="W146" s="26"/>
      <c r="X146" s="28"/>
      <c r="Y146" s="26"/>
      <c r="Z146" s="244" t="s">
        <v>156</v>
      </c>
      <c r="AA146" s="28">
        <f>7.752*4+0.25*14</f>
        <v>34.507999999999996</v>
      </c>
      <c r="AB146" s="29"/>
      <c r="AC146" s="28"/>
      <c r="AD146" s="29"/>
      <c r="AE146" s="28"/>
      <c r="AF146" s="29"/>
      <c r="AG146" s="31"/>
      <c r="AH146" s="31"/>
      <c r="AI146" s="34">
        <v>1</v>
      </c>
      <c r="AJ146" s="34">
        <v>4</v>
      </c>
      <c r="AK146" s="30"/>
      <c r="AL146" s="32"/>
      <c r="AM146" s="32">
        <v>1</v>
      </c>
      <c r="AN146" s="32"/>
      <c r="AO146" s="79"/>
      <c r="AP146" s="32"/>
      <c r="AQ146" s="32"/>
    </row>
    <row r="147" spans="1:43" ht="12.75">
      <c r="A147" s="26">
        <f t="shared" si="23"/>
        <v>31</v>
      </c>
      <c r="B147" s="27" t="s">
        <v>78</v>
      </c>
      <c r="C147" s="26">
        <v>5</v>
      </c>
      <c r="D147" s="26"/>
      <c r="E147" s="28">
        <f t="shared" si="24"/>
        <v>102.20150000000001</v>
      </c>
      <c r="F147" s="28">
        <f t="shared" si="25"/>
        <v>102.20150000000001</v>
      </c>
      <c r="G147" s="28"/>
      <c r="H147" s="29">
        <v>0.1</v>
      </c>
      <c r="I147" s="28">
        <f>H147*475</f>
        <v>47.5</v>
      </c>
      <c r="J147" s="29">
        <v>0.0205</v>
      </c>
      <c r="K147" s="28">
        <f>J147*483</f>
        <v>9.9015</v>
      </c>
      <c r="L147" s="29">
        <v>0.128</v>
      </c>
      <c r="M147" s="29">
        <f>L147*350</f>
        <v>44.800000000000004</v>
      </c>
      <c r="N147" s="29"/>
      <c r="O147" s="219"/>
      <c r="P147" s="28"/>
      <c r="Q147" s="26"/>
      <c r="R147" s="26"/>
      <c r="S147" s="26"/>
      <c r="T147" s="26"/>
      <c r="U147" s="26"/>
      <c r="V147" s="26">
        <v>28</v>
      </c>
      <c r="W147" s="26"/>
      <c r="X147" s="28"/>
      <c r="Y147" s="26"/>
      <c r="Z147" s="243"/>
      <c r="AA147" s="28"/>
      <c r="AB147" s="29"/>
      <c r="AC147" s="28"/>
      <c r="AD147" s="29"/>
      <c r="AE147" s="28"/>
      <c r="AF147" s="29"/>
      <c r="AG147" s="31"/>
      <c r="AH147" s="31"/>
      <c r="AI147" s="34"/>
      <c r="AJ147" s="34">
        <v>8</v>
      </c>
      <c r="AK147" s="30"/>
      <c r="AL147" s="32"/>
      <c r="AM147" s="32">
        <v>1</v>
      </c>
      <c r="AN147" s="32"/>
      <c r="AO147" s="79"/>
      <c r="AP147" s="32"/>
      <c r="AQ147" s="32"/>
    </row>
    <row r="148" spans="1:43" ht="12.75">
      <c r="A148" s="26">
        <f t="shared" si="23"/>
        <v>32</v>
      </c>
      <c r="B148" s="27" t="s">
        <v>78</v>
      </c>
      <c r="C148" s="26">
        <v>7</v>
      </c>
      <c r="D148" s="26"/>
      <c r="E148" s="28">
        <f t="shared" si="24"/>
        <v>11.592</v>
      </c>
      <c r="F148" s="28">
        <f t="shared" si="25"/>
        <v>11.592</v>
      </c>
      <c r="G148" s="28"/>
      <c r="H148" s="29"/>
      <c r="I148" s="28"/>
      <c r="J148" s="29">
        <v>0.024</v>
      </c>
      <c r="K148" s="28">
        <f>J148*483</f>
        <v>11.592</v>
      </c>
      <c r="L148" s="29"/>
      <c r="M148" s="29"/>
      <c r="N148" s="29"/>
      <c r="O148" s="219"/>
      <c r="P148" s="28"/>
      <c r="Q148" s="26"/>
      <c r="R148" s="26"/>
      <c r="S148" s="26">
        <v>1</v>
      </c>
      <c r="T148" s="26"/>
      <c r="U148" s="26"/>
      <c r="V148" s="26">
        <v>4</v>
      </c>
      <c r="W148" s="26"/>
      <c r="X148" s="28"/>
      <c r="Y148" s="26"/>
      <c r="Z148" s="243"/>
      <c r="AA148" s="28"/>
      <c r="AB148" s="29"/>
      <c r="AC148" s="28"/>
      <c r="AD148" s="29"/>
      <c r="AE148" s="28"/>
      <c r="AF148" s="29"/>
      <c r="AG148" s="31"/>
      <c r="AH148" s="31"/>
      <c r="AI148" s="34"/>
      <c r="AJ148" s="34">
        <v>10</v>
      </c>
      <c r="AK148" s="30"/>
      <c r="AL148" s="32"/>
      <c r="AM148" s="32">
        <v>1</v>
      </c>
      <c r="AN148" s="32"/>
      <c r="AO148" s="79"/>
      <c r="AP148" s="32"/>
      <c r="AQ148" s="32"/>
    </row>
    <row r="149" spans="1:43" ht="12.75">
      <c r="A149" s="26">
        <f t="shared" si="23"/>
        <v>33</v>
      </c>
      <c r="B149" s="27" t="s">
        <v>78</v>
      </c>
      <c r="C149" s="26">
        <v>9</v>
      </c>
      <c r="D149" s="26"/>
      <c r="E149" s="28">
        <f t="shared" si="24"/>
        <v>28.5</v>
      </c>
      <c r="F149" s="28">
        <f t="shared" si="25"/>
        <v>28.5</v>
      </c>
      <c r="G149" s="28"/>
      <c r="H149" s="29">
        <v>0.06</v>
      </c>
      <c r="I149" s="28">
        <f>H149*475</f>
        <v>28.5</v>
      </c>
      <c r="J149" s="29"/>
      <c r="K149" s="28"/>
      <c r="L149" s="29"/>
      <c r="M149" s="29"/>
      <c r="N149" s="29"/>
      <c r="O149" s="219"/>
      <c r="P149" s="28"/>
      <c r="Q149" s="26"/>
      <c r="R149" s="26"/>
      <c r="S149" s="26">
        <v>1</v>
      </c>
      <c r="T149" s="26"/>
      <c r="U149" s="26"/>
      <c r="V149" s="26">
        <v>60</v>
      </c>
      <c r="W149" s="26"/>
      <c r="X149" s="28"/>
      <c r="Y149" s="26"/>
      <c r="Z149" s="243"/>
      <c r="AA149" s="28"/>
      <c r="AB149" s="29"/>
      <c r="AC149" s="28"/>
      <c r="AD149" s="29"/>
      <c r="AE149" s="28"/>
      <c r="AF149" s="29"/>
      <c r="AG149" s="31"/>
      <c r="AH149" s="31"/>
      <c r="AI149" s="34"/>
      <c r="AJ149" s="34">
        <v>10</v>
      </c>
      <c r="AK149" s="30"/>
      <c r="AL149" s="32"/>
      <c r="AM149" s="32">
        <v>1</v>
      </c>
      <c r="AN149" s="32"/>
      <c r="AO149" s="79"/>
      <c r="AP149" s="32"/>
      <c r="AQ149" s="32"/>
    </row>
    <row r="150" spans="1:43" ht="12.75">
      <c r="A150" s="26">
        <f t="shared" si="23"/>
        <v>34</v>
      </c>
      <c r="B150" s="27" t="s">
        <v>79</v>
      </c>
      <c r="C150" s="26">
        <v>4</v>
      </c>
      <c r="D150" s="26"/>
      <c r="E150" s="28">
        <f t="shared" si="24"/>
        <v>13.2825</v>
      </c>
      <c r="F150" s="28">
        <f t="shared" si="25"/>
        <v>13.2825</v>
      </c>
      <c r="G150" s="28"/>
      <c r="H150" s="29"/>
      <c r="I150" s="28"/>
      <c r="J150" s="29">
        <v>0.0275</v>
      </c>
      <c r="K150" s="28">
        <f>J150*483</f>
        <v>13.2825</v>
      </c>
      <c r="L150" s="29"/>
      <c r="M150" s="29"/>
      <c r="N150" s="29"/>
      <c r="O150" s="219"/>
      <c r="P150" s="28"/>
      <c r="Q150" s="26"/>
      <c r="R150" s="26"/>
      <c r="S150" s="26"/>
      <c r="T150" s="26"/>
      <c r="U150" s="26"/>
      <c r="V150" s="26">
        <v>12</v>
      </c>
      <c r="W150" s="26"/>
      <c r="X150" s="28"/>
      <c r="Y150" s="26"/>
      <c r="Z150" s="243"/>
      <c r="AA150" s="28"/>
      <c r="AB150" s="29"/>
      <c r="AC150" s="28"/>
      <c r="AD150" s="29"/>
      <c r="AE150" s="28"/>
      <c r="AF150" s="29"/>
      <c r="AG150" s="31"/>
      <c r="AH150" s="31"/>
      <c r="AI150" s="34"/>
      <c r="AJ150" s="34">
        <v>2</v>
      </c>
      <c r="AK150" s="30"/>
      <c r="AL150" s="32"/>
      <c r="AM150" s="32">
        <v>1</v>
      </c>
      <c r="AN150" s="32"/>
      <c r="AO150" s="79"/>
      <c r="AP150" s="32"/>
      <c r="AQ150" s="32"/>
    </row>
    <row r="151" spans="1:43" ht="12.75">
      <c r="A151" s="26">
        <f t="shared" si="23"/>
        <v>35</v>
      </c>
      <c r="B151" s="27" t="s">
        <v>57</v>
      </c>
      <c r="C151" s="26">
        <v>43</v>
      </c>
      <c r="D151" s="26"/>
      <c r="E151" s="28">
        <f t="shared" si="24"/>
        <v>110.64</v>
      </c>
      <c r="F151" s="28">
        <f t="shared" si="25"/>
        <v>110.64</v>
      </c>
      <c r="G151" s="28"/>
      <c r="H151" s="29"/>
      <c r="I151" s="28"/>
      <c r="J151" s="29"/>
      <c r="K151" s="28"/>
      <c r="L151" s="29"/>
      <c r="M151" s="29"/>
      <c r="N151" s="29"/>
      <c r="O151" s="219"/>
      <c r="P151" s="28"/>
      <c r="Q151" s="26"/>
      <c r="R151" s="26"/>
      <c r="S151" s="26"/>
      <c r="T151" s="26"/>
      <c r="U151" s="26"/>
      <c r="V151" s="26">
        <v>25</v>
      </c>
      <c r="W151" s="26"/>
      <c r="X151" s="28"/>
      <c r="Y151" s="26"/>
      <c r="Z151" s="243" t="s">
        <v>157</v>
      </c>
      <c r="AA151" s="28">
        <f>6.915*16</f>
        <v>110.64</v>
      </c>
      <c r="AB151" s="29"/>
      <c r="AC151" s="28"/>
      <c r="AD151" s="29"/>
      <c r="AE151" s="28"/>
      <c r="AF151" s="29"/>
      <c r="AG151" s="31"/>
      <c r="AH151" s="31"/>
      <c r="AI151" s="34"/>
      <c r="AJ151" s="34">
        <v>4</v>
      </c>
      <c r="AK151" s="30"/>
      <c r="AL151" s="32"/>
      <c r="AM151" s="32"/>
      <c r="AN151" s="32"/>
      <c r="AO151" s="79"/>
      <c r="AP151" s="32"/>
      <c r="AQ151" s="32"/>
    </row>
    <row r="152" spans="1:43" ht="12.75">
      <c r="A152" s="26">
        <f t="shared" si="23"/>
        <v>36</v>
      </c>
      <c r="B152" s="27" t="s">
        <v>57</v>
      </c>
      <c r="C152" s="26">
        <v>45</v>
      </c>
      <c r="D152" s="26" t="s">
        <v>41</v>
      </c>
      <c r="E152" s="28">
        <f t="shared" si="24"/>
        <v>5</v>
      </c>
      <c r="F152" s="28">
        <f t="shared" si="25"/>
        <v>5</v>
      </c>
      <c r="G152" s="28"/>
      <c r="H152" s="29"/>
      <c r="I152" s="28"/>
      <c r="J152" s="29"/>
      <c r="K152" s="28"/>
      <c r="L152" s="29"/>
      <c r="M152" s="29"/>
      <c r="N152" s="29"/>
      <c r="O152" s="219"/>
      <c r="P152" s="28"/>
      <c r="Q152" s="26"/>
      <c r="R152" s="26"/>
      <c r="S152" s="26">
        <v>1</v>
      </c>
      <c r="T152" s="26"/>
      <c r="U152" s="26"/>
      <c r="V152" s="26">
        <v>16</v>
      </c>
      <c r="W152" s="26"/>
      <c r="X152" s="28"/>
      <c r="Y152" s="26"/>
      <c r="Z152" s="243" t="s">
        <v>158</v>
      </c>
      <c r="AA152" s="28">
        <f>20*0.25</f>
        <v>5</v>
      </c>
      <c r="AB152" s="29"/>
      <c r="AC152" s="28"/>
      <c r="AD152" s="29"/>
      <c r="AE152" s="28"/>
      <c r="AF152" s="29"/>
      <c r="AG152" s="31"/>
      <c r="AH152" s="31"/>
      <c r="AI152" s="34"/>
      <c r="AJ152" s="34">
        <v>1</v>
      </c>
      <c r="AK152" s="30"/>
      <c r="AL152" s="32"/>
      <c r="AM152" s="32"/>
      <c r="AN152" s="32"/>
      <c r="AO152" s="79"/>
      <c r="AP152" s="32"/>
      <c r="AQ152" s="32"/>
    </row>
    <row r="153" spans="1:43" ht="12.75">
      <c r="A153" s="26">
        <f t="shared" si="23"/>
        <v>37</v>
      </c>
      <c r="B153" s="27" t="s">
        <v>57</v>
      </c>
      <c r="C153" s="26">
        <v>45</v>
      </c>
      <c r="D153" s="26"/>
      <c r="E153" s="28">
        <f t="shared" si="24"/>
        <v>24.150000000000002</v>
      </c>
      <c r="F153" s="28">
        <f t="shared" si="25"/>
        <v>24.150000000000002</v>
      </c>
      <c r="G153" s="28"/>
      <c r="H153" s="29"/>
      <c r="I153" s="28"/>
      <c r="J153" s="29">
        <v>0.05</v>
      </c>
      <c r="K153" s="28">
        <f>J153*483</f>
        <v>24.150000000000002</v>
      </c>
      <c r="L153" s="29"/>
      <c r="M153" s="29"/>
      <c r="N153" s="29"/>
      <c r="O153" s="219"/>
      <c r="P153" s="28"/>
      <c r="Q153" s="26"/>
      <c r="R153" s="26"/>
      <c r="S153" s="26"/>
      <c r="T153" s="26"/>
      <c r="U153" s="26"/>
      <c r="V153" s="26"/>
      <c r="W153" s="26"/>
      <c r="X153" s="28"/>
      <c r="Y153" s="26"/>
      <c r="Z153" s="243"/>
      <c r="AA153" s="28"/>
      <c r="AB153" s="29"/>
      <c r="AC153" s="28"/>
      <c r="AD153" s="29"/>
      <c r="AE153" s="28"/>
      <c r="AF153" s="29"/>
      <c r="AG153" s="31"/>
      <c r="AH153" s="31"/>
      <c r="AI153" s="34"/>
      <c r="AJ153" s="34">
        <v>3</v>
      </c>
      <c r="AK153" s="30"/>
      <c r="AL153" s="32"/>
      <c r="AM153" s="32"/>
      <c r="AN153" s="32"/>
      <c r="AO153" s="79"/>
      <c r="AP153" s="32"/>
      <c r="AQ153" s="32"/>
    </row>
    <row r="154" spans="1:43" ht="12.75">
      <c r="A154" s="26">
        <f t="shared" si="23"/>
        <v>38</v>
      </c>
      <c r="B154" s="27" t="s">
        <v>57</v>
      </c>
      <c r="C154" s="26">
        <v>47</v>
      </c>
      <c r="D154" s="26"/>
      <c r="E154" s="28">
        <f t="shared" si="24"/>
        <v>0</v>
      </c>
      <c r="F154" s="28">
        <f t="shared" si="25"/>
        <v>0</v>
      </c>
      <c r="G154" s="28"/>
      <c r="H154" s="29"/>
      <c r="I154" s="28"/>
      <c r="J154" s="29"/>
      <c r="K154" s="28"/>
      <c r="L154" s="29"/>
      <c r="M154" s="29"/>
      <c r="N154" s="29"/>
      <c r="O154" s="219"/>
      <c r="P154" s="28"/>
      <c r="Q154" s="26"/>
      <c r="R154" s="26"/>
      <c r="S154" s="26"/>
      <c r="T154" s="26"/>
      <c r="U154" s="26"/>
      <c r="V154" s="26">
        <v>12</v>
      </c>
      <c r="W154" s="26"/>
      <c r="X154" s="28"/>
      <c r="Y154" s="26"/>
      <c r="Z154" s="243"/>
      <c r="AA154" s="28"/>
      <c r="AB154" s="29"/>
      <c r="AC154" s="28"/>
      <c r="AD154" s="29"/>
      <c r="AE154" s="28"/>
      <c r="AF154" s="29"/>
      <c r="AG154" s="31"/>
      <c r="AH154" s="31"/>
      <c r="AI154" s="34"/>
      <c r="AJ154" s="34">
        <v>4</v>
      </c>
      <c r="AK154" s="30"/>
      <c r="AL154" s="32"/>
      <c r="AM154" s="32"/>
      <c r="AN154" s="32"/>
      <c r="AO154" s="79"/>
      <c r="AP154" s="32"/>
      <c r="AQ154" s="32"/>
    </row>
    <row r="155" spans="1:43" ht="12.75">
      <c r="A155" s="26">
        <f t="shared" si="23"/>
        <v>39</v>
      </c>
      <c r="B155" s="27" t="s">
        <v>80</v>
      </c>
      <c r="C155" s="26">
        <v>16</v>
      </c>
      <c r="D155" s="26"/>
      <c r="E155" s="28">
        <f t="shared" si="24"/>
        <v>0</v>
      </c>
      <c r="F155" s="28">
        <f t="shared" si="25"/>
        <v>0</v>
      </c>
      <c r="G155" s="28"/>
      <c r="H155" s="29"/>
      <c r="I155" s="28"/>
      <c r="J155" s="29"/>
      <c r="K155" s="28"/>
      <c r="L155" s="29"/>
      <c r="M155" s="29"/>
      <c r="N155" s="29"/>
      <c r="O155" s="219"/>
      <c r="P155" s="28"/>
      <c r="Q155" s="26"/>
      <c r="R155" s="26"/>
      <c r="S155" s="26"/>
      <c r="T155" s="26"/>
      <c r="U155" s="26"/>
      <c r="V155" s="26">
        <v>6</v>
      </c>
      <c r="W155" s="26"/>
      <c r="X155" s="28"/>
      <c r="Y155" s="26"/>
      <c r="Z155" s="243"/>
      <c r="AA155" s="28"/>
      <c r="AB155" s="29"/>
      <c r="AC155" s="28"/>
      <c r="AD155" s="29"/>
      <c r="AE155" s="28"/>
      <c r="AF155" s="29"/>
      <c r="AG155" s="31"/>
      <c r="AH155" s="31"/>
      <c r="AI155" s="34"/>
      <c r="AJ155" s="34">
        <v>4</v>
      </c>
      <c r="AK155" s="30"/>
      <c r="AL155" s="32"/>
      <c r="AM155" s="32"/>
      <c r="AN155" s="32"/>
      <c r="AO155" s="79"/>
      <c r="AP155" s="32"/>
      <c r="AQ155" s="32"/>
    </row>
    <row r="156" spans="1:43" ht="12.75">
      <c r="A156" s="26">
        <f t="shared" si="23"/>
        <v>40</v>
      </c>
      <c r="B156" s="27" t="s">
        <v>80</v>
      </c>
      <c r="C156" s="26">
        <v>16</v>
      </c>
      <c r="D156" s="26" t="s">
        <v>40</v>
      </c>
      <c r="E156" s="28">
        <f t="shared" si="24"/>
        <v>0</v>
      </c>
      <c r="F156" s="28">
        <f t="shared" si="25"/>
        <v>0</v>
      </c>
      <c r="G156" s="28"/>
      <c r="H156" s="29"/>
      <c r="I156" s="28"/>
      <c r="J156" s="29"/>
      <c r="K156" s="28"/>
      <c r="L156" s="29"/>
      <c r="M156" s="29"/>
      <c r="N156" s="29"/>
      <c r="O156" s="219"/>
      <c r="P156" s="28"/>
      <c r="Q156" s="26"/>
      <c r="R156" s="26"/>
      <c r="S156" s="26"/>
      <c r="T156" s="26"/>
      <c r="U156" s="26"/>
      <c r="V156" s="26"/>
      <c r="W156" s="26"/>
      <c r="X156" s="28"/>
      <c r="Y156" s="26"/>
      <c r="Z156" s="243"/>
      <c r="AA156" s="28"/>
      <c r="AB156" s="29"/>
      <c r="AC156" s="28"/>
      <c r="AD156" s="29"/>
      <c r="AE156" s="28"/>
      <c r="AF156" s="29"/>
      <c r="AG156" s="28"/>
      <c r="AH156" s="31"/>
      <c r="AI156" s="34"/>
      <c r="AJ156" s="34">
        <v>3</v>
      </c>
      <c r="AK156" s="30"/>
      <c r="AL156" s="32"/>
      <c r="AM156" s="32"/>
      <c r="AN156" s="32"/>
      <c r="AO156" s="79"/>
      <c r="AP156" s="32"/>
      <c r="AQ156" s="32"/>
    </row>
    <row r="157" spans="1:43" ht="12.75">
      <c r="A157" s="26">
        <f t="shared" si="23"/>
        <v>41</v>
      </c>
      <c r="B157" s="27" t="s">
        <v>80</v>
      </c>
      <c r="C157" s="26">
        <v>18</v>
      </c>
      <c r="D157" s="26" t="s">
        <v>41</v>
      </c>
      <c r="E157" s="28">
        <f t="shared" si="24"/>
        <v>4.75</v>
      </c>
      <c r="F157" s="28">
        <f t="shared" si="25"/>
        <v>4.75</v>
      </c>
      <c r="G157" s="28"/>
      <c r="H157" s="29">
        <v>0.01</v>
      </c>
      <c r="I157" s="28">
        <f>H157*475</f>
        <v>4.75</v>
      </c>
      <c r="J157" s="29"/>
      <c r="K157" s="28"/>
      <c r="L157" s="29"/>
      <c r="M157" s="29"/>
      <c r="N157" s="29"/>
      <c r="O157" s="219"/>
      <c r="P157" s="28"/>
      <c r="Q157" s="26"/>
      <c r="R157" s="26"/>
      <c r="S157" s="26"/>
      <c r="T157" s="26"/>
      <c r="U157" s="26"/>
      <c r="V157" s="26">
        <v>4</v>
      </c>
      <c r="W157" s="26"/>
      <c r="X157" s="28"/>
      <c r="Y157" s="26"/>
      <c r="Z157" s="243"/>
      <c r="AA157" s="28"/>
      <c r="AB157" s="29"/>
      <c r="AC157" s="28"/>
      <c r="AD157" s="29"/>
      <c r="AE157" s="28"/>
      <c r="AF157" s="29"/>
      <c r="AG157" s="31"/>
      <c r="AH157" s="31"/>
      <c r="AI157" s="34"/>
      <c r="AJ157" s="34">
        <v>4</v>
      </c>
      <c r="AK157" s="30"/>
      <c r="AL157" s="32"/>
      <c r="AM157" s="32">
        <v>1</v>
      </c>
      <c r="AN157" s="32"/>
      <c r="AO157" s="79"/>
      <c r="AP157" s="32"/>
      <c r="AQ157" s="32"/>
    </row>
    <row r="158" spans="1:43" ht="12.75">
      <c r="A158" s="26">
        <f t="shared" si="23"/>
        <v>42</v>
      </c>
      <c r="B158" s="27" t="s">
        <v>80</v>
      </c>
      <c r="C158" s="26">
        <v>20</v>
      </c>
      <c r="D158" s="26"/>
      <c r="E158" s="28">
        <f t="shared" si="24"/>
        <v>0</v>
      </c>
      <c r="F158" s="28">
        <f t="shared" si="25"/>
        <v>0</v>
      </c>
      <c r="G158" s="28"/>
      <c r="H158" s="29"/>
      <c r="I158" s="28"/>
      <c r="J158" s="29"/>
      <c r="K158" s="28"/>
      <c r="L158" s="29"/>
      <c r="M158" s="29"/>
      <c r="N158" s="29"/>
      <c r="O158" s="219"/>
      <c r="P158" s="28"/>
      <c r="Q158" s="26"/>
      <c r="R158" s="26"/>
      <c r="S158" s="26"/>
      <c r="T158" s="26"/>
      <c r="U158" s="26"/>
      <c r="V158" s="26">
        <v>8</v>
      </c>
      <c r="W158" s="26"/>
      <c r="X158" s="28"/>
      <c r="Y158" s="26"/>
      <c r="Z158" s="243"/>
      <c r="AA158" s="28"/>
      <c r="AB158" s="29"/>
      <c r="AC158" s="28"/>
      <c r="AD158" s="29"/>
      <c r="AE158" s="28"/>
      <c r="AF158" s="29"/>
      <c r="AG158" s="31"/>
      <c r="AH158" s="31"/>
      <c r="AI158" s="34">
        <v>1</v>
      </c>
      <c r="AJ158" s="34">
        <v>1</v>
      </c>
      <c r="AK158" s="30"/>
      <c r="AL158" s="32"/>
      <c r="AM158" s="32">
        <v>1</v>
      </c>
      <c r="AN158" s="32"/>
      <c r="AO158" s="79"/>
      <c r="AP158" s="32"/>
      <c r="AQ158" s="32"/>
    </row>
    <row r="159" spans="1:43" ht="12.75">
      <c r="A159" s="26">
        <f t="shared" si="23"/>
        <v>43</v>
      </c>
      <c r="B159" s="27" t="s">
        <v>80</v>
      </c>
      <c r="C159" s="26">
        <v>26</v>
      </c>
      <c r="D159" s="26" t="s">
        <v>40</v>
      </c>
      <c r="E159" s="28">
        <f t="shared" si="24"/>
        <v>19</v>
      </c>
      <c r="F159" s="28">
        <f t="shared" si="25"/>
        <v>19</v>
      </c>
      <c r="G159" s="28"/>
      <c r="H159" s="29">
        <v>0.04</v>
      </c>
      <c r="I159" s="28">
        <f>H159*475</f>
        <v>19</v>
      </c>
      <c r="J159" s="29"/>
      <c r="K159" s="28"/>
      <c r="L159" s="29"/>
      <c r="M159" s="29"/>
      <c r="N159" s="29"/>
      <c r="O159" s="219"/>
      <c r="P159" s="28">
        <f>O159*550</f>
        <v>0</v>
      </c>
      <c r="Q159" s="26"/>
      <c r="R159" s="26"/>
      <c r="S159" s="26"/>
      <c r="T159" s="26"/>
      <c r="U159" s="26"/>
      <c r="V159" s="26">
        <v>2</v>
      </c>
      <c r="W159" s="26"/>
      <c r="X159" s="28"/>
      <c r="Y159" s="26"/>
      <c r="Z159" s="243"/>
      <c r="AA159" s="28"/>
      <c r="AB159" s="29"/>
      <c r="AC159" s="28"/>
      <c r="AD159" s="29"/>
      <c r="AE159" s="28"/>
      <c r="AF159" s="29"/>
      <c r="AG159" s="31"/>
      <c r="AH159" s="31"/>
      <c r="AI159" s="34">
        <v>1</v>
      </c>
      <c r="AJ159" s="34">
        <v>1</v>
      </c>
      <c r="AK159" s="30"/>
      <c r="AL159" s="32"/>
      <c r="AM159" s="32">
        <v>1</v>
      </c>
      <c r="AN159" s="32"/>
      <c r="AO159" s="79"/>
      <c r="AP159" s="32"/>
      <c r="AQ159" s="32"/>
    </row>
    <row r="160" spans="1:43" ht="12.75">
      <c r="A160" s="26">
        <f t="shared" si="23"/>
        <v>44</v>
      </c>
      <c r="B160" s="27" t="s">
        <v>80</v>
      </c>
      <c r="C160" s="26">
        <v>26</v>
      </c>
      <c r="D160" s="26" t="s">
        <v>73</v>
      </c>
      <c r="E160" s="28">
        <f t="shared" si="24"/>
        <v>0</v>
      </c>
      <c r="F160" s="28">
        <f t="shared" si="25"/>
        <v>0</v>
      </c>
      <c r="G160" s="28"/>
      <c r="H160" s="29"/>
      <c r="I160" s="28"/>
      <c r="J160" s="29"/>
      <c r="K160" s="28"/>
      <c r="L160" s="29"/>
      <c r="M160" s="29"/>
      <c r="N160" s="29"/>
      <c r="O160" s="219"/>
      <c r="P160" s="28"/>
      <c r="Q160" s="26"/>
      <c r="R160" s="26"/>
      <c r="S160" s="26"/>
      <c r="T160" s="26"/>
      <c r="U160" s="26"/>
      <c r="V160" s="26"/>
      <c r="W160" s="26"/>
      <c r="X160" s="28"/>
      <c r="Y160" s="26"/>
      <c r="Z160" s="243"/>
      <c r="AA160" s="28"/>
      <c r="AB160" s="29"/>
      <c r="AC160" s="28"/>
      <c r="AD160" s="29"/>
      <c r="AE160" s="28"/>
      <c r="AF160" s="29"/>
      <c r="AG160" s="31"/>
      <c r="AH160" s="31"/>
      <c r="AI160" s="34">
        <v>1</v>
      </c>
      <c r="AJ160" s="34">
        <v>2</v>
      </c>
      <c r="AK160" s="30"/>
      <c r="AL160" s="32"/>
      <c r="AM160" s="32">
        <v>1</v>
      </c>
      <c r="AN160" s="32"/>
      <c r="AO160" s="79"/>
      <c r="AP160" s="32"/>
      <c r="AQ160" s="32"/>
    </row>
    <row r="161" spans="1:43" ht="12.75">
      <c r="A161" s="26">
        <f t="shared" si="23"/>
        <v>45</v>
      </c>
      <c r="B161" s="27" t="s">
        <v>80</v>
      </c>
      <c r="C161" s="26">
        <v>28</v>
      </c>
      <c r="D161" s="26"/>
      <c r="E161" s="28">
        <f t="shared" si="24"/>
        <v>0</v>
      </c>
      <c r="F161" s="28">
        <f t="shared" si="25"/>
        <v>0</v>
      </c>
      <c r="G161" s="28"/>
      <c r="H161" s="29"/>
      <c r="I161" s="28"/>
      <c r="J161" s="29"/>
      <c r="K161" s="28"/>
      <c r="L161" s="29"/>
      <c r="M161" s="29"/>
      <c r="N161" s="29"/>
      <c r="O161" s="219"/>
      <c r="P161" s="28"/>
      <c r="Q161" s="26"/>
      <c r="R161" s="26"/>
      <c r="S161" s="26"/>
      <c r="T161" s="26"/>
      <c r="U161" s="26"/>
      <c r="V161" s="26"/>
      <c r="W161" s="26"/>
      <c r="X161" s="28"/>
      <c r="Y161" s="26"/>
      <c r="Z161" s="243"/>
      <c r="AA161" s="28"/>
      <c r="AB161" s="29"/>
      <c r="AC161" s="28"/>
      <c r="AD161" s="29"/>
      <c r="AE161" s="28"/>
      <c r="AF161" s="29"/>
      <c r="AG161" s="31"/>
      <c r="AH161" s="31"/>
      <c r="AI161" s="34"/>
      <c r="AJ161" s="34">
        <v>1</v>
      </c>
      <c r="AK161" s="30"/>
      <c r="AL161" s="32"/>
      <c r="AM161" s="32"/>
      <c r="AN161" s="32"/>
      <c r="AO161" s="79"/>
      <c r="AP161" s="32"/>
      <c r="AQ161" s="32"/>
    </row>
    <row r="162" spans="1:43" ht="12.75">
      <c r="A162" s="26">
        <f t="shared" si="23"/>
        <v>46</v>
      </c>
      <c r="B162" s="27" t="s">
        <v>80</v>
      </c>
      <c r="C162" s="26">
        <v>38</v>
      </c>
      <c r="D162" s="26"/>
      <c r="E162" s="28">
        <f t="shared" si="24"/>
        <v>0</v>
      </c>
      <c r="F162" s="28">
        <f t="shared" si="25"/>
        <v>0</v>
      </c>
      <c r="G162" s="28"/>
      <c r="H162" s="29"/>
      <c r="I162" s="28"/>
      <c r="J162" s="29"/>
      <c r="K162" s="28"/>
      <c r="L162" s="29"/>
      <c r="M162" s="29"/>
      <c r="N162" s="29"/>
      <c r="O162" s="219"/>
      <c r="P162" s="28"/>
      <c r="Q162" s="26"/>
      <c r="R162" s="26"/>
      <c r="S162" s="26">
        <v>3</v>
      </c>
      <c r="T162" s="26"/>
      <c r="U162" s="26"/>
      <c r="V162" s="26">
        <v>7</v>
      </c>
      <c r="W162" s="26"/>
      <c r="X162" s="28"/>
      <c r="Y162" s="26"/>
      <c r="Z162" s="243"/>
      <c r="AA162" s="28"/>
      <c r="AB162" s="29"/>
      <c r="AC162" s="28"/>
      <c r="AD162" s="29"/>
      <c r="AE162" s="28"/>
      <c r="AF162" s="29"/>
      <c r="AG162" s="31"/>
      <c r="AH162" s="31"/>
      <c r="AI162" s="34">
        <v>1</v>
      </c>
      <c r="AJ162" s="34">
        <v>1</v>
      </c>
      <c r="AK162" s="30"/>
      <c r="AL162" s="32"/>
      <c r="AM162" s="32">
        <v>1</v>
      </c>
      <c r="AN162" s="32"/>
      <c r="AO162" s="79"/>
      <c r="AP162" s="32"/>
      <c r="AQ162" s="32"/>
    </row>
    <row r="163" spans="1:43" ht="12.75">
      <c r="A163" s="26">
        <f t="shared" si="23"/>
        <v>47</v>
      </c>
      <c r="B163" s="27" t="s">
        <v>80</v>
      </c>
      <c r="C163" s="26">
        <v>38</v>
      </c>
      <c r="D163" s="26" t="s">
        <v>40</v>
      </c>
      <c r="E163" s="28">
        <f t="shared" si="24"/>
        <v>19</v>
      </c>
      <c r="F163" s="28">
        <f t="shared" si="25"/>
        <v>19</v>
      </c>
      <c r="G163" s="28"/>
      <c r="H163" s="29">
        <v>0.04</v>
      </c>
      <c r="I163" s="28">
        <f>H163*475</f>
        <v>19</v>
      </c>
      <c r="J163" s="29"/>
      <c r="K163" s="28"/>
      <c r="L163" s="29"/>
      <c r="M163" s="29"/>
      <c r="N163" s="29"/>
      <c r="O163" s="219"/>
      <c r="P163" s="28"/>
      <c r="Q163" s="26"/>
      <c r="R163" s="26"/>
      <c r="S163" s="26">
        <v>1</v>
      </c>
      <c r="T163" s="26"/>
      <c r="U163" s="26"/>
      <c r="V163" s="26"/>
      <c r="W163" s="26"/>
      <c r="X163" s="28"/>
      <c r="Y163" s="26"/>
      <c r="Z163" s="243"/>
      <c r="AA163" s="28"/>
      <c r="AB163" s="29"/>
      <c r="AC163" s="28"/>
      <c r="AD163" s="29"/>
      <c r="AE163" s="28"/>
      <c r="AF163" s="29"/>
      <c r="AG163" s="31"/>
      <c r="AH163" s="31"/>
      <c r="AI163" s="34"/>
      <c r="AJ163" s="34">
        <v>5</v>
      </c>
      <c r="AK163" s="30"/>
      <c r="AL163" s="32"/>
      <c r="AM163" s="32"/>
      <c r="AN163" s="32"/>
      <c r="AO163" s="79"/>
      <c r="AP163" s="32"/>
      <c r="AQ163" s="32"/>
    </row>
    <row r="164" spans="1:43" ht="12.75">
      <c r="A164" s="26">
        <f t="shared" si="23"/>
        <v>48</v>
      </c>
      <c r="B164" s="27" t="s">
        <v>80</v>
      </c>
      <c r="C164" s="26">
        <v>38</v>
      </c>
      <c r="D164" s="26" t="s">
        <v>41</v>
      </c>
      <c r="E164" s="28">
        <f t="shared" si="24"/>
        <v>0</v>
      </c>
      <c r="F164" s="28">
        <f t="shared" si="25"/>
        <v>0</v>
      </c>
      <c r="G164" s="28"/>
      <c r="H164" s="29"/>
      <c r="I164" s="28"/>
      <c r="J164" s="29"/>
      <c r="K164" s="28"/>
      <c r="L164" s="29"/>
      <c r="M164" s="29"/>
      <c r="N164" s="29"/>
      <c r="O164" s="219"/>
      <c r="P164" s="28"/>
      <c r="Q164" s="26"/>
      <c r="R164" s="26"/>
      <c r="S164" s="26">
        <v>2</v>
      </c>
      <c r="T164" s="26"/>
      <c r="U164" s="26"/>
      <c r="V164" s="26"/>
      <c r="W164" s="26"/>
      <c r="X164" s="28"/>
      <c r="Y164" s="26"/>
      <c r="Z164" s="243"/>
      <c r="AA164" s="28"/>
      <c r="AB164" s="29"/>
      <c r="AC164" s="28"/>
      <c r="AD164" s="29"/>
      <c r="AE164" s="28"/>
      <c r="AF164" s="29"/>
      <c r="AG164" s="31"/>
      <c r="AH164" s="31"/>
      <c r="AI164" s="34">
        <v>1</v>
      </c>
      <c r="AJ164" s="34">
        <v>1</v>
      </c>
      <c r="AK164" s="30"/>
      <c r="AL164" s="32"/>
      <c r="AM164" s="32">
        <v>1</v>
      </c>
      <c r="AN164" s="32"/>
      <c r="AO164" s="79"/>
      <c r="AP164" s="32"/>
      <c r="AQ164" s="32"/>
    </row>
    <row r="165" spans="1:43" ht="12.75">
      <c r="A165" s="26">
        <f t="shared" si="23"/>
        <v>49</v>
      </c>
      <c r="B165" s="27" t="s">
        <v>81</v>
      </c>
      <c r="C165" s="26">
        <v>14</v>
      </c>
      <c r="D165" s="26"/>
      <c r="E165" s="28">
        <f t="shared" si="24"/>
        <v>0</v>
      </c>
      <c r="F165" s="28">
        <f t="shared" si="25"/>
        <v>0</v>
      </c>
      <c r="G165" s="28"/>
      <c r="H165" s="29"/>
      <c r="I165" s="28"/>
      <c r="J165" s="29"/>
      <c r="K165" s="28"/>
      <c r="L165" s="29"/>
      <c r="M165" s="29"/>
      <c r="N165" s="29"/>
      <c r="O165" s="219"/>
      <c r="P165" s="28"/>
      <c r="Q165" s="26"/>
      <c r="R165" s="26"/>
      <c r="S165" s="26">
        <v>1</v>
      </c>
      <c r="T165" s="26"/>
      <c r="U165" s="26"/>
      <c r="V165" s="26"/>
      <c r="W165" s="26"/>
      <c r="X165" s="28"/>
      <c r="Y165" s="26"/>
      <c r="Z165" s="243"/>
      <c r="AA165" s="28"/>
      <c r="AB165" s="29"/>
      <c r="AC165" s="28"/>
      <c r="AD165" s="29"/>
      <c r="AE165" s="28"/>
      <c r="AF165" s="29"/>
      <c r="AG165" s="31"/>
      <c r="AH165" s="31"/>
      <c r="AI165" s="34"/>
      <c r="AJ165" s="34">
        <v>1</v>
      </c>
      <c r="AK165" s="30"/>
      <c r="AL165" s="32"/>
      <c r="AM165" s="32">
        <v>1</v>
      </c>
      <c r="AN165" s="32"/>
      <c r="AO165" s="79"/>
      <c r="AP165" s="32"/>
      <c r="AQ165" s="32"/>
    </row>
    <row r="166" spans="1:43" ht="12.75">
      <c r="A166" s="26">
        <f t="shared" si="23"/>
        <v>50</v>
      </c>
      <c r="B166" s="27" t="s">
        <v>82</v>
      </c>
      <c r="C166" s="26">
        <v>2</v>
      </c>
      <c r="D166" s="26"/>
      <c r="E166" s="28">
        <f t="shared" si="24"/>
        <v>0</v>
      </c>
      <c r="F166" s="28">
        <f t="shared" si="25"/>
        <v>0</v>
      </c>
      <c r="G166" s="28"/>
      <c r="H166" s="29"/>
      <c r="I166" s="28"/>
      <c r="J166" s="29"/>
      <c r="K166" s="28"/>
      <c r="L166" s="29"/>
      <c r="M166" s="29"/>
      <c r="N166" s="29"/>
      <c r="O166" s="219"/>
      <c r="P166" s="28"/>
      <c r="Q166" s="26"/>
      <c r="R166" s="26"/>
      <c r="S166" s="26"/>
      <c r="T166" s="26"/>
      <c r="U166" s="26"/>
      <c r="V166" s="26"/>
      <c r="W166" s="26"/>
      <c r="X166" s="28"/>
      <c r="Y166" s="26"/>
      <c r="Z166" s="243"/>
      <c r="AA166" s="28"/>
      <c r="AB166" s="29"/>
      <c r="AC166" s="28"/>
      <c r="AD166" s="29"/>
      <c r="AE166" s="28"/>
      <c r="AF166" s="29"/>
      <c r="AG166" s="31"/>
      <c r="AH166" s="31"/>
      <c r="AI166" s="34"/>
      <c r="AJ166" s="34">
        <v>1</v>
      </c>
      <c r="AK166" s="30"/>
      <c r="AL166" s="32"/>
      <c r="AM166" s="32"/>
      <c r="AN166" s="32"/>
      <c r="AO166" s="79"/>
      <c r="AP166" s="32"/>
      <c r="AQ166" s="32"/>
    </row>
    <row r="167" spans="1:43" ht="12.75">
      <c r="A167" s="26">
        <f t="shared" si="23"/>
        <v>51</v>
      </c>
      <c r="B167" s="27" t="s">
        <v>50</v>
      </c>
      <c r="C167" s="26">
        <v>10</v>
      </c>
      <c r="D167" s="26"/>
      <c r="E167" s="28">
        <f t="shared" si="24"/>
        <v>13.693999999999999</v>
      </c>
      <c r="F167" s="28">
        <f t="shared" si="25"/>
        <v>13.693999999999999</v>
      </c>
      <c r="G167" s="28"/>
      <c r="H167" s="29"/>
      <c r="I167" s="28"/>
      <c r="J167" s="29">
        <v>0.018</v>
      </c>
      <c r="K167" s="28">
        <f>J167*483</f>
        <v>8.693999999999999</v>
      </c>
      <c r="L167" s="29"/>
      <c r="M167" s="29"/>
      <c r="N167" s="29"/>
      <c r="O167" s="219"/>
      <c r="P167" s="28"/>
      <c r="Q167" s="26"/>
      <c r="R167" s="26"/>
      <c r="S167" s="26"/>
      <c r="T167" s="26"/>
      <c r="U167" s="26"/>
      <c r="V167" s="26">
        <v>8</v>
      </c>
      <c r="W167" s="26"/>
      <c r="X167" s="28"/>
      <c r="Y167" s="26"/>
      <c r="Z167" s="243" t="s">
        <v>159</v>
      </c>
      <c r="AA167" s="28">
        <f>20*0.25</f>
        <v>5</v>
      </c>
      <c r="AB167" s="29"/>
      <c r="AC167" s="28"/>
      <c r="AD167" s="29"/>
      <c r="AE167" s="28"/>
      <c r="AF167" s="29"/>
      <c r="AG167" s="31"/>
      <c r="AH167" s="31"/>
      <c r="AI167" s="34"/>
      <c r="AJ167" s="34">
        <v>2</v>
      </c>
      <c r="AK167" s="30"/>
      <c r="AL167" s="32"/>
      <c r="AM167" s="32"/>
      <c r="AN167" s="32"/>
      <c r="AO167" s="79"/>
      <c r="AP167" s="32"/>
      <c r="AQ167" s="32"/>
    </row>
    <row r="168" spans="1:43" ht="12.75">
      <c r="A168" s="26">
        <f t="shared" si="23"/>
        <v>52</v>
      </c>
      <c r="B168" s="27" t="s">
        <v>50</v>
      </c>
      <c r="C168" s="26">
        <v>12</v>
      </c>
      <c r="D168" s="26"/>
      <c r="E168" s="28">
        <f t="shared" si="24"/>
        <v>30.116</v>
      </c>
      <c r="F168" s="28">
        <f t="shared" si="25"/>
        <v>30.116</v>
      </c>
      <c r="G168" s="28"/>
      <c r="H168" s="29"/>
      <c r="I168" s="28"/>
      <c r="J168" s="29">
        <v>0.052</v>
      </c>
      <c r="K168" s="28">
        <f>J168*483</f>
        <v>25.116</v>
      </c>
      <c r="L168" s="29"/>
      <c r="M168" s="29"/>
      <c r="N168" s="29"/>
      <c r="O168" s="219"/>
      <c r="P168" s="28"/>
      <c r="Q168" s="26"/>
      <c r="R168" s="26"/>
      <c r="S168" s="26"/>
      <c r="T168" s="26"/>
      <c r="U168" s="26"/>
      <c r="V168" s="26">
        <v>18</v>
      </c>
      <c r="W168" s="26"/>
      <c r="X168" s="28"/>
      <c r="Y168" s="26"/>
      <c r="Z168" s="243" t="s">
        <v>159</v>
      </c>
      <c r="AA168" s="28">
        <f>20*0.25</f>
        <v>5</v>
      </c>
      <c r="AB168" s="29"/>
      <c r="AC168" s="28"/>
      <c r="AD168" s="29"/>
      <c r="AE168" s="28"/>
      <c r="AF168" s="29"/>
      <c r="AG168" s="31"/>
      <c r="AH168" s="31"/>
      <c r="AI168" s="34"/>
      <c r="AJ168" s="34">
        <v>3</v>
      </c>
      <c r="AK168" s="30"/>
      <c r="AL168" s="32"/>
      <c r="AM168" s="32"/>
      <c r="AN168" s="32"/>
      <c r="AO168" s="79"/>
      <c r="AP168" s="32"/>
      <c r="AQ168" s="32"/>
    </row>
    <row r="169" spans="1:43" ht="12.75">
      <c r="A169" s="26">
        <f t="shared" si="23"/>
        <v>53</v>
      </c>
      <c r="B169" s="27" t="s">
        <v>50</v>
      </c>
      <c r="C169" s="26">
        <v>20</v>
      </c>
      <c r="D169" s="26"/>
      <c r="E169" s="28">
        <f t="shared" si="24"/>
        <v>0</v>
      </c>
      <c r="F169" s="28">
        <f t="shared" si="25"/>
        <v>0</v>
      </c>
      <c r="G169" s="28"/>
      <c r="H169" s="29"/>
      <c r="I169" s="28"/>
      <c r="J169" s="29"/>
      <c r="K169" s="28"/>
      <c r="L169" s="29"/>
      <c r="M169" s="29"/>
      <c r="N169" s="29"/>
      <c r="O169" s="219"/>
      <c r="P169" s="28"/>
      <c r="Q169" s="26"/>
      <c r="R169" s="26"/>
      <c r="S169" s="26"/>
      <c r="T169" s="26"/>
      <c r="U169" s="26"/>
      <c r="V169" s="26">
        <v>6</v>
      </c>
      <c r="W169" s="26"/>
      <c r="X169" s="28"/>
      <c r="Y169" s="26"/>
      <c r="Z169" s="243"/>
      <c r="AA169" s="28"/>
      <c r="AB169" s="29"/>
      <c r="AC169" s="28"/>
      <c r="AD169" s="29"/>
      <c r="AE169" s="28"/>
      <c r="AF169" s="29"/>
      <c r="AG169" s="31"/>
      <c r="AH169" s="31"/>
      <c r="AI169" s="34"/>
      <c r="AJ169" s="34">
        <v>4</v>
      </c>
      <c r="AK169" s="30"/>
      <c r="AL169" s="32"/>
      <c r="AM169" s="32"/>
      <c r="AN169" s="32"/>
      <c r="AO169" s="79"/>
      <c r="AP169" s="32"/>
      <c r="AQ169" s="32"/>
    </row>
    <row r="170" spans="1:43" ht="12.75">
      <c r="A170" s="26">
        <f t="shared" si="23"/>
        <v>54</v>
      </c>
      <c r="B170" s="27" t="s">
        <v>50</v>
      </c>
      <c r="C170" s="26">
        <v>24</v>
      </c>
      <c r="D170" s="26"/>
      <c r="E170" s="28">
        <f t="shared" si="24"/>
        <v>0</v>
      </c>
      <c r="F170" s="28">
        <f t="shared" si="25"/>
        <v>0</v>
      </c>
      <c r="G170" s="28"/>
      <c r="H170" s="29"/>
      <c r="I170" s="28"/>
      <c r="J170" s="29"/>
      <c r="K170" s="28"/>
      <c r="L170" s="28"/>
      <c r="M170" s="28"/>
      <c r="N170" s="28"/>
      <c r="O170" s="219"/>
      <c r="P170" s="28"/>
      <c r="Q170" s="26"/>
      <c r="R170" s="26"/>
      <c r="S170" s="26"/>
      <c r="T170" s="26"/>
      <c r="U170" s="26"/>
      <c r="V170" s="26">
        <v>6</v>
      </c>
      <c r="W170" s="26"/>
      <c r="X170" s="28"/>
      <c r="Y170" s="26"/>
      <c r="Z170" s="243"/>
      <c r="AA170" s="28"/>
      <c r="AB170" s="29"/>
      <c r="AC170" s="28"/>
      <c r="AD170" s="29"/>
      <c r="AE170" s="28"/>
      <c r="AF170" s="29"/>
      <c r="AG170" s="31"/>
      <c r="AH170" s="31"/>
      <c r="AI170" s="34"/>
      <c r="AJ170" s="34">
        <v>2</v>
      </c>
      <c r="AK170" s="30"/>
      <c r="AL170" s="32"/>
      <c r="AM170" s="32"/>
      <c r="AN170" s="32"/>
      <c r="AO170" s="79"/>
      <c r="AP170" s="32"/>
      <c r="AQ170" s="32"/>
    </row>
    <row r="171" spans="1:43" ht="12.75">
      <c r="A171" s="26">
        <f t="shared" si="23"/>
        <v>55</v>
      </c>
      <c r="B171" s="27" t="s">
        <v>51</v>
      </c>
      <c r="C171" s="26">
        <v>157</v>
      </c>
      <c r="D171" s="26"/>
      <c r="E171" s="28">
        <f t="shared" si="24"/>
        <v>200.25900000000001</v>
      </c>
      <c r="F171" s="28">
        <f t="shared" si="25"/>
        <v>200.25900000000001</v>
      </c>
      <c r="G171" s="28"/>
      <c r="H171" s="29">
        <v>0.34</v>
      </c>
      <c r="I171" s="28">
        <f>H171*475</f>
        <v>161.5</v>
      </c>
      <c r="J171" s="29">
        <v>0.073</v>
      </c>
      <c r="K171" s="28">
        <f>J171*483</f>
        <v>35.259</v>
      </c>
      <c r="L171" s="29">
        <v>0.01</v>
      </c>
      <c r="M171" s="29">
        <f>L171*350</f>
        <v>3.5</v>
      </c>
      <c r="N171" s="29"/>
      <c r="O171" s="219"/>
      <c r="P171" s="28"/>
      <c r="Q171" s="26"/>
      <c r="R171" s="26"/>
      <c r="S171" s="26"/>
      <c r="T171" s="26"/>
      <c r="U171" s="26"/>
      <c r="V171" s="26">
        <v>36</v>
      </c>
      <c r="W171" s="26"/>
      <c r="X171" s="28"/>
      <c r="Y171" s="26"/>
      <c r="Z171" s="243"/>
      <c r="AA171" s="28"/>
      <c r="AB171" s="29"/>
      <c r="AC171" s="28"/>
      <c r="AD171" s="29"/>
      <c r="AE171" s="28"/>
      <c r="AF171" s="29"/>
      <c r="AG171" s="28"/>
      <c r="AH171" s="31"/>
      <c r="AI171" s="34"/>
      <c r="AJ171" s="34">
        <v>4</v>
      </c>
      <c r="AK171" s="30"/>
      <c r="AL171" s="32"/>
      <c r="AM171" s="32">
        <v>1</v>
      </c>
      <c r="AN171" s="32"/>
      <c r="AO171" s="79"/>
      <c r="AP171" s="32"/>
      <c r="AQ171" s="32"/>
    </row>
    <row r="172" spans="1:43" ht="12.75">
      <c r="A172" s="26">
        <f t="shared" si="23"/>
        <v>56</v>
      </c>
      <c r="B172" s="27" t="s">
        <v>83</v>
      </c>
      <c r="C172" s="26">
        <v>2</v>
      </c>
      <c r="D172" s="26"/>
      <c r="E172" s="28">
        <f t="shared" si="24"/>
        <v>0</v>
      </c>
      <c r="F172" s="28">
        <f t="shared" si="25"/>
        <v>0</v>
      </c>
      <c r="G172" s="28"/>
      <c r="H172" s="29"/>
      <c r="I172" s="28"/>
      <c r="J172" s="29"/>
      <c r="K172" s="28"/>
      <c r="L172" s="29"/>
      <c r="M172" s="29"/>
      <c r="N172" s="29"/>
      <c r="O172" s="219"/>
      <c r="P172" s="28"/>
      <c r="Q172" s="26"/>
      <c r="R172" s="26"/>
      <c r="S172" s="26"/>
      <c r="T172" s="26"/>
      <c r="U172" s="26"/>
      <c r="V172" s="26">
        <v>4</v>
      </c>
      <c r="W172" s="26"/>
      <c r="X172" s="28"/>
      <c r="Y172" s="26"/>
      <c r="Z172" s="243"/>
      <c r="AA172" s="28"/>
      <c r="AB172" s="29"/>
      <c r="AC172" s="28"/>
      <c r="AD172" s="29"/>
      <c r="AE172" s="28"/>
      <c r="AF172" s="29"/>
      <c r="AG172" s="31"/>
      <c r="AH172" s="31"/>
      <c r="AI172" s="34">
        <v>2</v>
      </c>
      <c r="AJ172" s="34">
        <v>2</v>
      </c>
      <c r="AK172" s="30"/>
      <c r="AL172" s="32"/>
      <c r="AM172" s="32">
        <v>1</v>
      </c>
      <c r="AN172" s="32"/>
      <c r="AO172" s="79"/>
      <c r="AP172" s="32"/>
      <c r="AQ172" s="32"/>
    </row>
    <row r="173" spans="1:43" ht="12.75">
      <c r="A173" s="26">
        <f t="shared" si="23"/>
        <v>57</v>
      </c>
      <c r="B173" s="27" t="s">
        <v>83</v>
      </c>
      <c r="C173" s="26">
        <v>6</v>
      </c>
      <c r="D173" s="26"/>
      <c r="E173" s="28">
        <f t="shared" si="24"/>
        <v>32.544</v>
      </c>
      <c r="F173" s="28">
        <f t="shared" si="25"/>
        <v>32.544</v>
      </c>
      <c r="G173" s="28"/>
      <c r="H173" s="29">
        <v>0.03</v>
      </c>
      <c r="I173" s="28">
        <f>H173*475</f>
        <v>14.25</v>
      </c>
      <c r="J173" s="29"/>
      <c r="K173" s="28"/>
      <c r="L173" s="29"/>
      <c r="M173" s="29"/>
      <c r="N173" s="29"/>
      <c r="O173" s="219"/>
      <c r="P173" s="28"/>
      <c r="Q173" s="26"/>
      <c r="R173" s="26"/>
      <c r="S173" s="26">
        <v>4</v>
      </c>
      <c r="T173" s="26"/>
      <c r="U173" s="26"/>
      <c r="V173" s="26">
        <v>6</v>
      </c>
      <c r="W173" s="26"/>
      <c r="X173" s="28"/>
      <c r="Y173" s="26"/>
      <c r="Z173" s="243" t="s">
        <v>52</v>
      </c>
      <c r="AA173" s="28">
        <f>9.147*2</f>
        <v>18.294</v>
      </c>
      <c r="AB173" s="29"/>
      <c r="AC173" s="28"/>
      <c r="AD173" s="29"/>
      <c r="AE173" s="28"/>
      <c r="AF173" s="29"/>
      <c r="AG173" s="31"/>
      <c r="AH173" s="31"/>
      <c r="AI173" s="34">
        <v>2</v>
      </c>
      <c r="AJ173" s="34">
        <v>2</v>
      </c>
      <c r="AK173" s="30"/>
      <c r="AL173" s="32"/>
      <c r="AM173" s="32">
        <v>1</v>
      </c>
      <c r="AN173" s="32"/>
      <c r="AO173" s="79"/>
      <c r="AP173" s="32"/>
      <c r="AQ173" s="32"/>
    </row>
    <row r="174" spans="1:43" ht="12.75">
      <c r="A174" s="26">
        <f t="shared" si="23"/>
        <v>58</v>
      </c>
      <c r="B174" s="27" t="s">
        <v>83</v>
      </c>
      <c r="C174" s="26">
        <v>8</v>
      </c>
      <c r="D174" s="26"/>
      <c r="E174" s="28">
        <f t="shared" si="24"/>
        <v>78.892</v>
      </c>
      <c r="F174" s="28">
        <f t="shared" si="25"/>
        <v>78.892</v>
      </c>
      <c r="G174" s="28"/>
      <c r="H174" s="29">
        <v>0.04</v>
      </c>
      <c r="I174" s="28">
        <f>H174*475</f>
        <v>19</v>
      </c>
      <c r="J174" s="29">
        <v>0.124</v>
      </c>
      <c r="K174" s="28">
        <f>J174*483</f>
        <v>59.892</v>
      </c>
      <c r="L174" s="29"/>
      <c r="M174" s="29"/>
      <c r="N174" s="29"/>
      <c r="O174" s="219"/>
      <c r="P174" s="28"/>
      <c r="Q174" s="26"/>
      <c r="R174" s="26"/>
      <c r="S174" s="26"/>
      <c r="T174" s="26"/>
      <c r="U174" s="26"/>
      <c r="V174" s="26"/>
      <c r="W174" s="26"/>
      <c r="X174" s="28"/>
      <c r="Y174" s="26"/>
      <c r="Z174" s="243"/>
      <c r="AA174" s="28"/>
      <c r="AB174" s="29"/>
      <c r="AC174" s="28"/>
      <c r="AD174" s="29"/>
      <c r="AE174" s="28"/>
      <c r="AF174" s="29"/>
      <c r="AG174" s="31"/>
      <c r="AH174" s="31"/>
      <c r="AI174" s="34">
        <v>1</v>
      </c>
      <c r="AJ174" s="34">
        <v>1</v>
      </c>
      <c r="AK174" s="30"/>
      <c r="AL174" s="32"/>
      <c r="AM174" s="32">
        <v>1</v>
      </c>
      <c r="AN174" s="32"/>
      <c r="AO174" s="79"/>
      <c r="AP174" s="32"/>
      <c r="AQ174" s="32"/>
    </row>
    <row r="175" spans="1:43" ht="12.75">
      <c r="A175" s="26">
        <f t="shared" si="23"/>
        <v>59</v>
      </c>
      <c r="B175" s="27" t="s">
        <v>83</v>
      </c>
      <c r="C175" s="26">
        <v>10</v>
      </c>
      <c r="D175" s="26"/>
      <c r="E175" s="28">
        <f t="shared" si="24"/>
        <v>6</v>
      </c>
      <c r="F175" s="28">
        <f t="shared" si="25"/>
        <v>6</v>
      </c>
      <c r="G175" s="28"/>
      <c r="H175" s="29"/>
      <c r="I175" s="28"/>
      <c r="J175" s="29"/>
      <c r="K175" s="28"/>
      <c r="L175" s="29"/>
      <c r="M175" s="29"/>
      <c r="N175" s="29"/>
      <c r="O175" s="219"/>
      <c r="P175" s="28"/>
      <c r="Q175" s="26"/>
      <c r="R175" s="26"/>
      <c r="S175" s="26"/>
      <c r="T175" s="26"/>
      <c r="U175" s="26"/>
      <c r="V175" s="26">
        <v>2</v>
      </c>
      <c r="W175" s="26"/>
      <c r="X175" s="28"/>
      <c r="Y175" s="26"/>
      <c r="Z175" s="243" t="s">
        <v>160</v>
      </c>
      <c r="AA175" s="28">
        <v>6</v>
      </c>
      <c r="AB175" s="29"/>
      <c r="AC175" s="28"/>
      <c r="AD175" s="29"/>
      <c r="AE175" s="28"/>
      <c r="AF175" s="29"/>
      <c r="AG175" s="31"/>
      <c r="AH175" s="31"/>
      <c r="AI175" s="34">
        <v>1</v>
      </c>
      <c r="AJ175" s="34">
        <v>1</v>
      </c>
      <c r="AK175" s="30"/>
      <c r="AL175" s="32"/>
      <c r="AM175" s="32">
        <v>1</v>
      </c>
      <c r="AN175" s="32"/>
      <c r="AO175" s="79"/>
      <c r="AP175" s="32"/>
      <c r="AQ175" s="32"/>
    </row>
    <row r="176" spans="1:43" ht="12.75">
      <c r="A176" s="26">
        <f t="shared" si="23"/>
        <v>60</v>
      </c>
      <c r="B176" s="27" t="s">
        <v>83</v>
      </c>
      <c r="C176" s="26">
        <v>10</v>
      </c>
      <c r="D176" s="26" t="s">
        <v>41</v>
      </c>
      <c r="E176" s="28">
        <f t="shared" si="24"/>
        <v>0</v>
      </c>
      <c r="F176" s="28">
        <f t="shared" si="25"/>
        <v>0</v>
      </c>
      <c r="G176" s="28"/>
      <c r="H176" s="29"/>
      <c r="I176" s="28"/>
      <c r="J176" s="29"/>
      <c r="K176" s="28"/>
      <c r="L176" s="29"/>
      <c r="M176" s="29"/>
      <c r="N176" s="29"/>
      <c r="O176" s="219"/>
      <c r="P176" s="28"/>
      <c r="Q176" s="26"/>
      <c r="R176" s="26"/>
      <c r="S176" s="26"/>
      <c r="T176" s="26"/>
      <c r="U176" s="26"/>
      <c r="V176" s="26">
        <v>4</v>
      </c>
      <c r="W176" s="26"/>
      <c r="X176" s="28"/>
      <c r="Y176" s="26"/>
      <c r="Z176" s="243"/>
      <c r="AA176" s="28"/>
      <c r="AB176" s="29"/>
      <c r="AC176" s="28"/>
      <c r="AD176" s="29"/>
      <c r="AE176" s="28"/>
      <c r="AF176" s="29"/>
      <c r="AG176" s="31"/>
      <c r="AH176" s="31"/>
      <c r="AI176" s="34">
        <v>1</v>
      </c>
      <c r="AJ176" s="34">
        <v>1</v>
      </c>
      <c r="AK176" s="30"/>
      <c r="AL176" s="32"/>
      <c r="AM176" s="32">
        <v>1</v>
      </c>
      <c r="AN176" s="32"/>
      <c r="AO176" s="79"/>
      <c r="AP176" s="32"/>
      <c r="AQ176" s="32"/>
    </row>
    <row r="177" spans="1:43" ht="12.75">
      <c r="A177" s="26">
        <f t="shared" si="23"/>
        <v>61</v>
      </c>
      <c r="B177" s="27" t="s">
        <v>83</v>
      </c>
      <c r="C177" s="26">
        <v>12</v>
      </c>
      <c r="D177" s="26"/>
      <c r="E177" s="28">
        <f t="shared" si="24"/>
        <v>85.212</v>
      </c>
      <c r="F177" s="28">
        <f t="shared" si="25"/>
        <v>85.212</v>
      </c>
      <c r="G177" s="28"/>
      <c r="H177" s="29"/>
      <c r="I177" s="28"/>
      <c r="J177" s="29">
        <v>0.164</v>
      </c>
      <c r="K177" s="28">
        <f>J177*483</f>
        <v>79.212</v>
      </c>
      <c r="L177" s="29"/>
      <c r="M177" s="29"/>
      <c r="N177" s="29"/>
      <c r="O177" s="219"/>
      <c r="P177" s="28"/>
      <c r="Q177" s="26"/>
      <c r="R177" s="26"/>
      <c r="S177" s="26"/>
      <c r="T177" s="26"/>
      <c r="U177" s="26"/>
      <c r="V177" s="26"/>
      <c r="W177" s="26"/>
      <c r="X177" s="28"/>
      <c r="Y177" s="26"/>
      <c r="Z177" s="243" t="s">
        <v>154</v>
      </c>
      <c r="AA177" s="28">
        <v>6</v>
      </c>
      <c r="AB177" s="29"/>
      <c r="AC177" s="28"/>
      <c r="AD177" s="29"/>
      <c r="AE177" s="28"/>
      <c r="AF177" s="29"/>
      <c r="AG177" s="31"/>
      <c r="AH177" s="31"/>
      <c r="AI177" s="34">
        <v>1</v>
      </c>
      <c r="AJ177" s="34">
        <v>1</v>
      </c>
      <c r="AK177" s="30"/>
      <c r="AL177" s="32"/>
      <c r="AM177" s="32">
        <v>1</v>
      </c>
      <c r="AN177" s="32"/>
      <c r="AO177" s="79"/>
      <c r="AP177" s="32"/>
      <c r="AQ177" s="32"/>
    </row>
    <row r="178" spans="1:43" s="78" customFormat="1" ht="12.75">
      <c r="A178" s="22">
        <f>A177</f>
        <v>61</v>
      </c>
      <c r="B178" s="237" t="s">
        <v>128</v>
      </c>
      <c r="C178" s="262">
        <f>6*363.618</f>
        <v>2181.708</v>
      </c>
      <c r="D178" s="262"/>
      <c r="E178" s="23">
        <f aca="true" t="shared" si="26" ref="E178:AN178">SUM(E117:E177)</f>
        <v>1582.2980000000005</v>
      </c>
      <c r="F178" s="23">
        <f t="shared" si="26"/>
        <v>1582.2980000000005</v>
      </c>
      <c r="G178" s="23">
        <f t="shared" si="26"/>
        <v>0</v>
      </c>
      <c r="H178" s="35">
        <f t="shared" si="26"/>
        <v>1.5900000000000003</v>
      </c>
      <c r="I178" s="23">
        <f>SUM(I117:I177)</f>
        <v>755.25</v>
      </c>
      <c r="J178" s="35">
        <f t="shared" si="26"/>
        <v>1.055</v>
      </c>
      <c r="K178" s="23">
        <f>SUM(K117:K177)</f>
        <v>509.56500000000005</v>
      </c>
      <c r="L178" s="35">
        <f t="shared" si="26"/>
        <v>0.138</v>
      </c>
      <c r="M178" s="35">
        <f t="shared" si="26"/>
        <v>48.300000000000004</v>
      </c>
      <c r="N178" s="35">
        <f t="shared" si="26"/>
        <v>0</v>
      </c>
      <c r="O178" s="221">
        <f t="shared" si="26"/>
        <v>0</v>
      </c>
      <c r="P178" s="23">
        <f>O178*1100</f>
        <v>0</v>
      </c>
      <c r="Q178" s="22">
        <f t="shared" si="26"/>
        <v>0</v>
      </c>
      <c r="R178" s="23">
        <f>SUM(R117:R177)</f>
        <v>0</v>
      </c>
      <c r="S178" s="22">
        <f t="shared" si="26"/>
        <v>34</v>
      </c>
      <c r="T178" s="22">
        <f t="shared" si="26"/>
        <v>0</v>
      </c>
      <c r="U178" s="23">
        <f>SUM(U117:U177)</f>
        <v>0</v>
      </c>
      <c r="V178" s="22">
        <f>SUM(V117:V177)</f>
        <v>625</v>
      </c>
      <c r="W178" s="22">
        <f>SUM(W117:W177)</f>
        <v>0</v>
      </c>
      <c r="X178" s="23">
        <f>SUM(X117:X177)</f>
        <v>0</v>
      </c>
      <c r="Y178" s="22">
        <f t="shared" si="26"/>
        <v>0</v>
      </c>
      <c r="Z178" s="35">
        <f t="shared" si="26"/>
        <v>0</v>
      </c>
      <c r="AA178" s="23">
        <f t="shared" si="26"/>
        <v>252.946</v>
      </c>
      <c r="AB178" s="23">
        <f t="shared" si="26"/>
        <v>0.016</v>
      </c>
      <c r="AC178" s="23">
        <f t="shared" si="26"/>
        <v>16.237</v>
      </c>
      <c r="AD178" s="23">
        <f t="shared" si="26"/>
        <v>0</v>
      </c>
      <c r="AE178" s="23">
        <f t="shared" si="26"/>
        <v>0</v>
      </c>
      <c r="AF178" s="35">
        <f t="shared" si="26"/>
        <v>0</v>
      </c>
      <c r="AG178" s="23">
        <f>SUM(AG117:AG177)</f>
        <v>0</v>
      </c>
      <c r="AH178" s="23"/>
      <c r="AI178" s="22">
        <f t="shared" si="26"/>
        <v>28</v>
      </c>
      <c r="AJ178" s="22">
        <f t="shared" si="26"/>
        <v>174</v>
      </c>
      <c r="AK178" s="35">
        <f t="shared" si="26"/>
        <v>0</v>
      </c>
      <c r="AL178" s="22">
        <f t="shared" si="26"/>
        <v>0</v>
      </c>
      <c r="AM178" s="22">
        <f>SUM(AM117:AM177)</f>
        <v>33</v>
      </c>
      <c r="AN178" s="22">
        <f t="shared" si="26"/>
        <v>0</v>
      </c>
      <c r="AO178" s="81"/>
      <c r="AP178" s="75"/>
      <c r="AQ178" s="75"/>
    </row>
    <row r="179" spans="1:43" ht="12.75">
      <c r="A179" s="26">
        <v>1</v>
      </c>
      <c r="B179" s="27" t="s">
        <v>51</v>
      </c>
      <c r="C179" s="26">
        <v>106</v>
      </c>
      <c r="D179" s="26"/>
      <c r="E179" s="28">
        <f aca="true" t="shared" si="27" ref="E179:E186">I179+K179+P179+X179+AA179+AC179+AE179+AG179</f>
        <v>2.608</v>
      </c>
      <c r="F179" s="28">
        <f aca="true" t="shared" si="28" ref="F179:F188">E179-G179</f>
        <v>2.608</v>
      </c>
      <c r="G179" s="28"/>
      <c r="H179" s="29">
        <v>0.008</v>
      </c>
      <c r="I179" s="28">
        <f>H179*326</f>
        <v>2.608</v>
      </c>
      <c r="J179" s="29"/>
      <c r="K179" s="28"/>
      <c r="L179" s="29"/>
      <c r="M179" s="29"/>
      <c r="N179" s="29"/>
      <c r="O179" s="219"/>
      <c r="P179" s="28"/>
      <c r="Q179" s="26"/>
      <c r="R179" s="26"/>
      <c r="S179" s="26"/>
      <c r="T179" s="26"/>
      <c r="U179" s="26"/>
      <c r="V179" s="26">
        <v>2</v>
      </c>
      <c r="W179" s="26"/>
      <c r="X179" s="28"/>
      <c r="Y179" s="26"/>
      <c r="Z179" s="29"/>
      <c r="AA179" s="28"/>
      <c r="AB179" s="29"/>
      <c r="AC179" s="28"/>
      <c r="AD179" s="29"/>
      <c r="AE179" s="28"/>
      <c r="AF179" s="29"/>
      <c r="AG179" s="31"/>
      <c r="AH179" s="31"/>
      <c r="AI179" s="34"/>
      <c r="AJ179" s="34">
        <v>5</v>
      </c>
      <c r="AK179" s="30"/>
      <c r="AL179" s="32"/>
      <c r="AM179" s="26"/>
      <c r="AN179" s="32"/>
      <c r="AO179" s="79" t="s">
        <v>84</v>
      </c>
      <c r="AP179" s="32"/>
      <c r="AQ179" s="32"/>
    </row>
    <row r="180" spans="1:43" ht="12.75">
      <c r="A180" s="26">
        <f aca="true" t="shared" si="29" ref="A180:A188">A179+1</f>
        <v>2</v>
      </c>
      <c r="B180" s="27" t="s">
        <v>51</v>
      </c>
      <c r="C180" s="26">
        <v>106</v>
      </c>
      <c r="D180" s="26" t="s">
        <v>41</v>
      </c>
      <c r="E180" s="28">
        <f t="shared" si="27"/>
        <v>0</v>
      </c>
      <c r="F180" s="28">
        <f t="shared" si="28"/>
        <v>0</v>
      </c>
      <c r="G180" s="28"/>
      <c r="H180" s="29"/>
      <c r="I180" s="28"/>
      <c r="J180" s="29"/>
      <c r="K180" s="28"/>
      <c r="L180" s="29"/>
      <c r="M180" s="29"/>
      <c r="N180" s="29"/>
      <c r="O180" s="219"/>
      <c r="P180" s="28"/>
      <c r="Q180" s="26"/>
      <c r="R180" s="26"/>
      <c r="S180" s="26"/>
      <c r="T180" s="26"/>
      <c r="U180" s="26"/>
      <c r="V180" s="26">
        <v>3</v>
      </c>
      <c r="W180" s="26"/>
      <c r="X180" s="28"/>
      <c r="Y180" s="26"/>
      <c r="Z180" s="29"/>
      <c r="AA180" s="28"/>
      <c r="AB180" s="29"/>
      <c r="AC180" s="28"/>
      <c r="AD180" s="29"/>
      <c r="AE180" s="28"/>
      <c r="AF180" s="29"/>
      <c r="AG180" s="31"/>
      <c r="AH180" s="31"/>
      <c r="AI180" s="34"/>
      <c r="AJ180" s="34">
        <v>3</v>
      </c>
      <c r="AK180" s="30"/>
      <c r="AL180" s="32"/>
      <c r="AM180" s="26"/>
      <c r="AN180" s="32"/>
      <c r="AO180" s="79" t="s">
        <v>85</v>
      </c>
      <c r="AP180" s="32"/>
      <c r="AQ180" s="32"/>
    </row>
    <row r="181" spans="1:43" ht="12.75">
      <c r="A181" s="26">
        <f t="shared" si="29"/>
        <v>3</v>
      </c>
      <c r="B181" s="27" t="s">
        <v>51</v>
      </c>
      <c r="C181" s="26">
        <v>106</v>
      </c>
      <c r="D181" s="26" t="s">
        <v>40</v>
      </c>
      <c r="E181" s="28">
        <f t="shared" si="27"/>
        <v>0</v>
      </c>
      <c r="F181" s="28">
        <f t="shared" si="28"/>
        <v>0</v>
      </c>
      <c r="G181" s="28"/>
      <c r="H181" s="29"/>
      <c r="I181" s="28"/>
      <c r="J181" s="29"/>
      <c r="K181" s="28"/>
      <c r="L181" s="29"/>
      <c r="M181" s="29"/>
      <c r="N181" s="29"/>
      <c r="O181" s="219"/>
      <c r="P181" s="28"/>
      <c r="Q181" s="26"/>
      <c r="R181" s="26"/>
      <c r="S181" s="26"/>
      <c r="T181" s="26"/>
      <c r="U181" s="26"/>
      <c r="V181" s="26"/>
      <c r="W181" s="26"/>
      <c r="X181" s="28"/>
      <c r="Y181" s="26"/>
      <c r="Z181" s="29"/>
      <c r="AA181" s="28"/>
      <c r="AB181" s="29"/>
      <c r="AC181" s="28"/>
      <c r="AD181" s="29"/>
      <c r="AE181" s="28"/>
      <c r="AF181" s="29"/>
      <c r="AG181" s="31"/>
      <c r="AH181" s="33"/>
      <c r="AI181" s="34"/>
      <c r="AJ181" s="34">
        <v>1</v>
      </c>
      <c r="AK181" s="30"/>
      <c r="AL181" s="32"/>
      <c r="AM181" s="26"/>
      <c r="AN181" s="32"/>
      <c r="AO181" s="79"/>
      <c r="AP181" s="32"/>
      <c r="AQ181" s="32"/>
    </row>
    <row r="182" spans="1:43" ht="12.75">
      <c r="A182" s="26">
        <f t="shared" si="29"/>
        <v>4</v>
      </c>
      <c r="B182" s="27" t="s">
        <v>51</v>
      </c>
      <c r="C182" s="26">
        <v>108</v>
      </c>
      <c r="D182" s="26" t="s">
        <v>41</v>
      </c>
      <c r="E182" s="28">
        <f t="shared" si="27"/>
        <v>34.293</v>
      </c>
      <c r="F182" s="28">
        <f t="shared" si="28"/>
        <v>34.293</v>
      </c>
      <c r="G182" s="28"/>
      <c r="H182" s="29"/>
      <c r="I182" s="28"/>
      <c r="J182" s="29">
        <v>0.071</v>
      </c>
      <c r="K182" s="29">
        <f>J182*483</f>
        <v>34.293</v>
      </c>
      <c r="L182" s="29"/>
      <c r="M182" s="29"/>
      <c r="N182" s="29"/>
      <c r="O182" s="219"/>
      <c r="P182" s="28"/>
      <c r="Q182" s="26"/>
      <c r="R182" s="26"/>
      <c r="S182" s="26"/>
      <c r="T182" s="26"/>
      <c r="U182" s="26"/>
      <c r="V182" s="26"/>
      <c r="W182" s="26"/>
      <c r="X182" s="28"/>
      <c r="Y182" s="26"/>
      <c r="Z182" s="29"/>
      <c r="AA182" s="28"/>
      <c r="AB182" s="29"/>
      <c r="AC182" s="28"/>
      <c r="AD182" s="29"/>
      <c r="AE182" s="28"/>
      <c r="AF182" s="29"/>
      <c r="AG182" s="31"/>
      <c r="AH182" s="31"/>
      <c r="AI182" s="34">
        <v>1</v>
      </c>
      <c r="AJ182" s="34">
        <v>2</v>
      </c>
      <c r="AK182" s="30"/>
      <c r="AL182" s="32"/>
      <c r="AM182" s="26"/>
      <c r="AN182" s="32"/>
      <c r="AO182" s="79"/>
      <c r="AP182" s="32"/>
      <c r="AQ182" s="32"/>
    </row>
    <row r="183" spans="1:43" ht="12.75">
      <c r="A183" s="26">
        <f t="shared" si="29"/>
        <v>5</v>
      </c>
      <c r="B183" s="27" t="s">
        <v>51</v>
      </c>
      <c r="C183" s="26">
        <v>108</v>
      </c>
      <c r="D183" s="26"/>
      <c r="E183" s="28">
        <f t="shared" si="27"/>
        <v>136.689</v>
      </c>
      <c r="F183" s="28">
        <f t="shared" si="28"/>
        <v>136.689</v>
      </c>
      <c r="G183" s="28"/>
      <c r="H183" s="29"/>
      <c r="I183" s="28"/>
      <c r="J183" s="29">
        <v>0.283</v>
      </c>
      <c r="K183" s="29">
        <f>J183*483</f>
        <v>136.689</v>
      </c>
      <c r="L183" s="29"/>
      <c r="M183" s="29"/>
      <c r="N183" s="29"/>
      <c r="O183" s="219"/>
      <c r="P183" s="28"/>
      <c r="Q183" s="26"/>
      <c r="R183" s="26"/>
      <c r="S183" s="26"/>
      <c r="T183" s="26"/>
      <c r="U183" s="26"/>
      <c r="V183" s="26">
        <v>4</v>
      </c>
      <c r="W183" s="26"/>
      <c r="X183" s="28"/>
      <c r="Y183" s="26"/>
      <c r="Z183" s="29"/>
      <c r="AA183" s="28"/>
      <c r="AB183" s="29"/>
      <c r="AC183" s="28"/>
      <c r="AD183" s="29"/>
      <c r="AE183" s="28"/>
      <c r="AF183" s="29"/>
      <c r="AG183" s="31"/>
      <c r="AH183" s="31"/>
      <c r="AI183" s="34"/>
      <c r="AJ183" s="34">
        <v>7</v>
      </c>
      <c r="AK183" s="30"/>
      <c r="AL183" s="32"/>
      <c r="AM183" s="26"/>
      <c r="AN183" s="32"/>
      <c r="AO183" s="79"/>
      <c r="AP183" s="32"/>
      <c r="AQ183" s="32"/>
    </row>
    <row r="184" spans="1:43" ht="12.75">
      <c r="A184" s="26">
        <f t="shared" si="29"/>
        <v>6</v>
      </c>
      <c r="B184" s="27" t="s">
        <v>51</v>
      </c>
      <c r="C184" s="26">
        <v>110</v>
      </c>
      <c r="D184" s="26"/>
      <c r="E184" s="28">
        <f t="shared" si="27"/>
        <v>0</v>
      </c>
      <c r="F184" s="28">
        <f t="shared" si="28"/>
        <v>0</v>
      </c>
      <c r="G184" s="28"/>
      <c r="H184" s="29"/>
      <c r="I184" s="28"/>
      <c r="J184" s="29"/>
      <c r="K184" s="28"/>
      <c r="L184" s="29"/>
      <c r="M184" s="29"/>
      <c r="N184" s="29"/>
      <c r="O184" s="219"/>
      <c r="P184" s="28"/>
      <c r="Q184" s="26"/>
      <c r="R184" s="26"/>
      <c r="S184" s="26"/>
      <c r="T184" s="26"/>
      <c r="U184" s="26"/>
      <c r="V184" s="26"/>
      <c r="W184" s="26"/>
      <c r="X184" s="28"/>
      <c r="Y184" s="26"/>
      <c r="Z184" s="29"/>
      <c r="AA184" s="28"/>
      <c r="AB184" s="29"/>
      <c r="AC184" s="28"/>
      <c r="AD184" s="29"/>
      <c r="AE184" s="28"/>
      <c r="AF184" s="29"/>
      <c r="AG184" s="31"/>
      <c r="AH184" s="31"/>
      <c r="AI184" s="34"/>
      <c r="AJ184" s="34">
        <v>2</v>
      </c>
      <c r="AK184" s="30"/>
      <c r="AL184" s="32"/>
      <c r="AM184" s="26"/>
      <c r="AN184" s="32"/>
      <c r="AO184" s="79"/>
      <c r="AP184" s="32"/>
      <c r="AQ184" s="32"/>
    </row>
    <row r="185" spans="1:43" ht="12.75">
      <c r="A185" s="26">
        <f t="shared" si="29"/>
        <v>7</v>
      </c>
      <c r="B185" s="27" t="s">
        <v>51</v>
      </c>
      <c r="C185" s="26">
        <v>112</v>
      </c>
      <c r="D185" s="26"/>
      <c r="E185" s="28">
        <f t="shared" si="27"/>
        <v>82.11</v>
      </c>
      <c r="F185" s="28">
        <f t="shared" si="28"/>
        <v>82.11</v>
      </c>
      <c r="G185" s="28"/>
      <c r="H185" s="29"/>
      <c r="I185" s="28"/>
      <c r="J185" s="29">
        <v>0.17</v>
      </c>
      <c r="K185" s="29">
        <f aca="true" t="shared" si="30" ref="K185:K190">J185*483</f>
        <v>82.11</v>
      </c>
      <c r="L185" s="29"/>
      <c r="M185" s="29"/>
      <c r="N185" s="29"/>
      <c r="O185" s="219"/>
      <c r="P185" s="28"/>
      <c r="Q185" s="26"/>
      <c r="R185" s="26"/>
      <c r="S185" s="26"/>
      <c r="T185" s="26"/>
      <c r="U185" s="26"/>
      <c r="V185" s="26"/>
      <c r="W185" s="26"/>
      <c r="X185" s="28"/>
      <c r="Y185" s="26"/>
      <c r="Z185" s="29"/>
      <c r="AA185" s="28"/>
      <c r="AB185" s="29"/>
      <c r="AC185" s="28"/>
      <c r="AD185" s="29"/>
      <c r="AE185" s="28"/>
      <c r="AF185" s="29"/>
      <c r="AG185" s="31"/>
      <c r="AH185" s="31"/>
      <c r="AI185" s="34"/>
      <c r="AJ185" s="34">
        <v>4</v>
      </c>
      <c r="AK185" s="30"/>
      <c r="AL185" s="32"/>
      <c r="AM185" s="26"/>
      <c r="AN185" s="32"/>
      <c r="AO185" s="79"/>
      <c r="AP185" s="32"/>
      <c r="AQ185" s="32"/>
    </row>
    <row r="186" spans="1:43" ht="12.75">
      <c r="A186" s="26">
        <f t="shared" si="29"/>
        <v>8</v>
      </c>
      <c r="B186" s="27" t="s">
        <v>51</v>
      </c>
      <c r="C186" s="26">
        <v>114</v>
      </c>
      <c r="D186" s="26"/>
      <c r="E186" s="28">
        <f t="shared" si="27"/>
        <v>59.409</v>
      </c>
      <c r="F186" s="28">
        <f t="shared" si="28"/>
        <v>59.409</v>
      </c>
      <c r="G186" s="28"/>
      <c r="H186" s="29"/>
      <c r="I186" s="28"/>
      <c r="J186" s="29">
        <v>0.123</v>
      </c>
      <c r="K186" s="29">
        <f t="shared" si="30"/>
        <v>59.409</v>
      </c>
      <c r="L186" s="29"/>
      <c r="M186" s="29"/>
      <c r="N186" s="29"/>
      <c r="O186" s="219"/>
      <c r="P186" s="28"/>
      <c r="Q186" s="26"/>
      <c r="R186" s="26"/>
      <c r="S186" s="26"/>
      <c r="T186" s="26"/>
      <c r="U186" s="26"/>
      <c r="V186" s="26">
        <v>2</v>
      </c>
      <c r="W186" s="26"/>
      <c r="X186" s="28"/>
      <c r="Y186" s="26"/>
      <c r="Z186" s="29"/>
      <c r="AA186" s="28"/>
      <c r="AB186" s="29"/>
      <c r="AC186" s="28"/>
      <c r="AD186" s="29"/>
      <c r="AE186" s="28"/>
      <c r="AF186" s="29"/>
      <c r="AG186" s="31"/>
      <c r="AH186" s="31"/>
      <c r="AI186" s="34">
        <v>1</v>
      </c>
      <c r="AJ186" s="34">
        <v>2</v>
      </c>
      <c r="AK186" s="30"/>
      <c r="AL186" s="32"/>
      <c r="AM186" s="26"/>
      <c r="AN186" s="32"/>
      <c r="AO186" s="79"/>
      <c r="AP186" s="32"/>
      <c r="AQ186" s="32"/>
    </row>
    <row r="187" spans="1:43" ht="12.75">
      <c r="A187" s="26">
        <f t="shared" si="29"/>
        <v>9</v>
      </c>
      <c r="B187" s="27" t="s">
        <v>51</v>
      </c>
      <c r="C187" s="26">
        <v>150</v>
      </c>
      <c r="D187" s="26"/>
      <c r="E187" s="28">
        <f>I187+K187+P187+X187+AA187+AC187+AE187+AG187</f>
        <v>16.905</v>
      </c>
      <c r="F187" s="28">
        <f t="shared" si="28"/>
        <v>16.905</v>
      </c>
      <c r="G187" s="28"/>
      <c r="H187" s="29"/>
      <c r="I187" s="28"/>
      <c r="J187" s="29">
        <v>0.035</v>
      </c>
      <c r="K187" s="29">
        <f t="shared" si="30"/>
        <v>16.905</v>
      </c>
      <c r="L187" s="29"/>
      <c r="M187" s="29"/>
      <c r="N187" s="29"/>
      <c r="O187" s="219"/>
      <c r="P187" s="28"/>
      <c r="Q187" s="26"/>
      <c r="R187" s="26"/>
      <c r="S187" s="26"/>
      <c r="T187" s="26"/>
      <c r="U187" s="26"/>
      <c r="V187" s="26">
        <v>2</v>
      </c>
      <c r="W187" s="26"/>
      <c r="X187" s="28"/>
      <c r="Y187" s="26"/>
      <c r="Z187" s="29"/>
      <c r="AA187" s="28"/>
      <c r="AB187" s="29"/>
      <c r="AC187" s="28"/>
      <c r="AD187" s="29"/>
      <c r="AE187" s="28"/>
      <c r="AF187" s="29"/>
      <c r="AG187" s="31"/>
      <c r="AH187" s="31"/>
      <c r="AI187" s="34"/>
      <c r="AJ187" s="34">
        <v>3</v>
      </c>
      <c r="AK187" s="30"/>
      <c r="AL187" s="32"/>
      <c r="AM187" s="26"/>
      <c r="AN187" s="32"/>
      <c r="AO187" s="79"/>
      <c r="AP187" s="32"/>
      <c r="AQ187" s="32"/>
    </row>
    <row r="188" spans="1:43" ht="12.75">
      <c r="A188" s="26">
        <f t="shared" si="29"/>
        <v>10</v>
      </c>
      <c r="B188" s="27" t="s">
        <v>51</v>
      </c>
      <c r="C188" s="26">
        <v>152</v>
      </c>
      <c r="D188" s="26"/>
      <c r="E188" s="28">
        <f>I188+K188+P188+X188+AA188+AC188+AE188+AG188</f>
        <v>7.752000000000001</v>
      </c>
      <c r="F188" s="28">
        <f t="shared" si="28"/>
        <v>7.752000000000001</v>
      </c>
      <c r="G188" s="28"/>
      <c r="H188" s="29">
        <v>0.006</v>
      </c>
      <c r="I188" s="28">
        <f>H188*326</f>
        <v>1.956</v>
      </c>
      <c r="J188" s="219">
        <v>0.012</v>
      </c>
      <c r="K188" s="29">
        <f t="shared" si="30"/>
        <v>5.796</v>
      </c>
      <c r="L188" s="29"/>
      <c r="M188" s="29"/>
      <c r="N188" s="29"/>
      <c r="O188" s="219"/>
      <c r="P188" s="28"/>
      <c r="Q188" s="26"/>
      <c r="R188" s="26"/>
      <c r="S188" s="26"/>
      <c r="T188" s="26"/>
      <c r="U188" s="26"/>
      <c r="V188" s="26"/>
      <c r="W188" s="26"/>
      <c r="X188" s="28"/>
      <c r="Y188" s="26"/>
      <c r="Z188" s="29"/>
      <c r="AA188" s="28"/>
      <c r="AB188" s="29"/>
      <c r="AC188" s="28"/>
      <c r="AD188" s="29"/>
      <c r="AE188" s="28"/>
      <c r="AF188" s="29"/>
      <c r="AG188" s="31"/>
      <c r="AH188" s="31"/>
      <c r="AI188" s="34"/>
      <c r="AJ188" s="34">
        <v>3</v>
      </c>
      <c r="AK188" s="30"/>
      <c r="AL188" s="32"/>
      <c r="AM188" s="26"/>
      <c r="AN188" s="32"/>
      <c r="AO188" s="79"/>
      <c r="AP188" s="32"/>
      <c r="AQ188" s="32"/>
    </row>
    <row r="189" spans="1:43" ht="12.75">
      <c r="A189" s="26">
        <f>A188+1</f>
        <v>11</v>
      </c>
      <c r="B189" s="27" t="s">
        <v>51</v>
      </c>
      <c r="C189" s="26">
        <v>154</v>
      </c>
      <c r="D189" s="26"/>
      <c r="E189" s="28">
        <f>I189+K189+P189+X189+AA189+AC189+AE189+AG189</f>
        <v>132.36599999999999</v>
      </c>
      <c r="F189" s="28">
        <f>E189-G189</f>
        <v>132.36599999999999</v>
      </c>
      <c r="G189" s="28"/>
      <c r="H189" s="29">
        <v>0.006</v>
      </c>
      <c r="I189" s="28">
        <f>H189*326</f>
        <v>1.956</v>
      </c>
      <c r="J189" s="219">
        <v>0.27</v>
      </c>
      <c r="K189" s="29">
        <f t="shared" si="30"/>
        <v>130.41</v>
      </c>
      <c r="L189" s="29"/>
      <c r="M189" s="29"/>
      <c r="N189" s="29"/>
      <c r="O189" s="219"/>
      <c r="P189" s="28"/>
      <c r="Q189" s="26"/>
      <c r="R189" s="26"/>
      <c r="S189" s="26"/>
      <c r="T189" s="26"/>
      <c r="U189" s="26"/>
      <c r="V189" s="26">
        <v>4</v>
      </c>
      <c r="W189" s="26"/>
      <c r="X189" s="28"/>
      <c r="Y189" s="26"/>
      <c r="Z189" s="29"/>
      <c r="AA189" s="28"/>
      <c r="AB189" s="29"/>
      <c r="AC189" s="28"/>
      <c r="AD189" s="29"/>
      <c r="AE189" s="28"/>
      <c r="AF189" s="29"/>
      <c r="AG189" s="31"/>
      <c r="AH189" s="31"/>
      <c r="AI189" s="34"/>
      <c r="AJ189" s="34">
        <v>6</v>
      </c>
      <c r="AK189" s="30"/>
      <c r="AL189" s="32"/>
      <c r="AM189" s="26"/>
      <c r="AN189" s="32"/>
      <c r="AO189" s="79"/>
      <c r="AP189" s="32"/>
      <c r="AQ189" s="32"/>
    </row>
    <row r="190" spans="1:43" ht="12.75">
      <c r="A190" s="26">
        <f>A189+1</f>
        <v>12</v>
      </c>
      <c r="B190" s="27" t="s">
        <v>51</v>
      </c>
      <c r="C190" s="26">
        <v>156</v>
      </c>
      <c r="D190" s="26"/>
      <c r="E190" s="28">
        <f>I190+K190+P190+X190+AA190+AC190+AE190+AG190</f>
        <v>220.284</v>
      </c>
      <c r="F190" s="28">
        <f>E190-G190</f>
        <v>220.284</v>
      </c>
      <c r="G190" s="28"/>
      <c r="H190" s="29">
        <v>0.009</v>
      </c>
      <c r="I190" s="28">
        <f>H190*326</f>
        <v>2.9339999999999997</v>
      </c>
      <c r="J190" s="219">
        <v>0.45</v>
      </c>
      <c r="K190" s="29">
        <f t="shared" si="30"/>
        <v>217.35</v>
      </c>
      <c r="L190" s="29"/>
      <c r="M190" s="29"/>
      <c r="N190" s="29"/>
      <c r="O190" s="219"/>
      <c r="P190" s="28"/>
      <c r="Q190" s="26"/>
      <c r="R190" s="26"/>
      <c r="S190" s="26"/>
      <c r="T190" s="26"/>
      <c r="U190" s="26"/>
      <c r="V190" s="26">
        <v>3</v>
      </c>
      <c r="W190" s="26"/>
      <c r="X190" s="28"/>
      <c r="Y190" s="26"/>
      <c r="Z190" s="29"/>
      <c r="AA190" s="28"/>
      <c r="AB190" s="29"/>
      <c r="AC190" s="28"/>
      <c r="AD190" s="29"/>
      <c r="AE190" s="28"/>
      <c r="AF190" s="29"/>
      <c r="AG190" s="31"/>
      <c r="AH190" s="31"/>
      <c r="AI190" s="34"/>
      <c r="AJ190" s="34">
        <v>6</v>
      </c>
      <c r="AK190" s="30"/>
      <c r="AL190" s="32"/>
      <c r="AM190" s="26"/>
      <c r="AN190" s="32"/>
      <c r="AO190" s="79"/>
      <c r="AP190" s="32"/>
      <c r="AQ190" s="32"/>
    </row>
    <row r="191" spans="1:43" ht="12.75">
      <c r="A191" s="22">
        <f>A190</f>
        <v>12</v>
      </c>
      <c r="B191" s="237" t="s">
        <v>130</v>
      </c>
      <c r="C191" s="262">
        <f>6*77.037+280</f>
        <v>742.222</v>
      </c>
      <c r="D191" s="262"/>
      <c r="E191" s="23">
        <f aca="true" t="shared" si="31" ref="E191:Q191">SUM(E179:E190)</f>
        <v>692.4159999999999</v>
      </c>
      <c r="F191" s="23">
        <f t="shared" si="31"/>
        <v>692.4159999999999</v>
      </c>
      <c r="G191" s="23">
        <f t="shared" si="31"/>
        <v>0</v>
      </c>
      <c r="H191" s="35">
        <f t="shared" si="31"/>
        <v>0.028999999999999998</v>
      </c>
      <c r="I191" s="35">
        <f t="shared" si="31"/>
        <v>9.453999999999999</v>
      </c>
      <c r="J191" s="35">
        <f t="shared" si="31"/>
        <v>1.4140000000000001</v>
      </c>
      <c r="K191" s="35">
        <f t="shared" si="31"/>
        <v>682.962</v>
      </c>
      <c r="L191" s="35">
        <f t="shared" si="31"/>
        <v>0</v>
      </c>
      <c r="M191" s="35">
        <f t="shared" si="31"/>
        <v>0</v>
      </c>
      <c r="N191" s="35">
        <f t="shared" si="31"/>
        <v>0</v>
      </c>
      <c r="O191" s="221">
        <f t="shared" si="31"/>
        <v>0</v>
      </c>
      <c r="P191" s="35">
        <f t="shared" si="31"/>
        <v>0</v>
      </c>
      <c r="Q191" s="22">
        <f t="shared" si="31"/>
        <v>0</v>
      </c>
      <c r="R191" s="22"/>
      <c r="S191" s="22">
        <f>SUM(S179:S190)</f>
        <v>0</v>
      </c>
      <c r="T191" s="22"/>
      <c r="U191" s="22"/>
      <c r="V191" s="22">
        <f>SUM(V179:V190)</f>
        <v>20</v>
      </c>
      <c r="W191" s="22">
        <f>SUM(W179:W190)</f>
        <v>0</v>
      </c>
      <c r="X191" s="28">
        <f>SUM(X179:X190)</f>
        <v>0</v>
      </c>
      <c r="Y191" s="22">
        <f>SUM(Y179:Y190)</f>
        <v>0</v>
      </c>
      <c r="Z191" s="35">
        <f>SUM(Z179:Z190)</f>
        <v>0</v>
      </c>
      <c r="AA191" s="23"/>
      <c r="AB191" s="35">
        <f aca="true" t="shared" si="32" ref="AB191:AG191">SUM(AB179:AB190)</f>
        <v>0</v>
      </c>
      <c r="AC191" s="35">
        <f t="shared" si="32"/>
        <v>0</v>
      </c>
      <c r="AD191" s="35">
        <f t="shared" si="32"/>
        <v>0</v>
      </c>
      <c r="AE191" s="35">
        <f t="shared" si="32"/>
        <v>0</v>
      </c>
      <c r="AF191" s="35">
        <f t="shared" si="32"/>
        <v>0</v>
      </c>
      <c r="AG191" s="35">
        <f t="shared" si="32"/>
        <v>0</v>
      </c>
      <c r="AH191" s="23"/>
      <c r="AI191" s="22">
        <f aca="true" t="shared" si="33" ref="AI191:AN191">SUM(AI179:AI190)</f>
        <v>2</v>
      </c>
      <c r="AJ191" s="22">
        <f t="shared" si="33"/>
        <v>44</v>
      </c>
      <c r="AK191" s="35">
        <f t="shared" si="33"/>
        <v>0</v>
      </c>
      <c r="AL191" s="22">
        <f t="shared" si="33"/>
        <v>0</v>
      </c>
      <c r="AM191" s="22">
        <f t="shared" si="33"/>
        <v>0</v>
      </c>
      <c r="AN191" s="22">
        <f t="shared" si="33"/>
        <v>0</v>
      </c>
      <c r="AO191" s="79"/>
      <c r="AP191" s="32"/>
      <c r="AQ191" s="32"/>
    </row>
    <row r="192" spans="1:43" ht="22.5">
      <c r="A192" s="26">
        <v>1</v>
      </c>
      <c r="B192" s="27" t="s">
        <v>32</v>
      </c>
      <c r="C192" s="26">
        <v>98</v>
      </c>
      <c r="D192" s="26"/>
      <c r="E192" s="28">
        <f>I192+K192+M192+P192+R192+U192+X192+AA192+AC192+AE192+AG192</f>
        <v>4</v>
      </c>
      <c r="F192" s="28">
        <f>E192-G192</f>
        <v>4</v>
      </c>
      <c r="G192" s="28"/>
      <c r="H192" s="29"/>
      <c r="I192" s="28"/>
      <c r="J192" s="29"/>
      <c r="K192" s="28"/>
      <c r="L192" s="29"/>
      <c r="M192" s="29"/>
      <c r="N192" s="29"/>
      <c r="O192" s="219"/>
      <c r="P192" s="28"/>
      <c r="Q192" s="26"/>
      <c r="R192" s="26"/>
      <c r="S192" s="26"/>
      <c r="T192" s="26"/>
      <c r="U192" s="26"/>
      <c r="V192" s="26"/>
      <c r="W192" s="26"/>
      <c r="X192" s="28"/>
      <c r="Y192" s="26"/>
      <c r="Z192" s="225" t="s">
        <v>161</v>
      </c>
      <c r="AA192" s="28">
        <v>4</v>
      </c>
      <c r="AB192" s="29"/>
      <c r="AC192" s="28"/>
      <c r="AD192" s="29"/>
      <c r="AE192" s="28"/>
      <c r="AF192" s="29"/>
      <c r="AG192" s="31"/>
      <c r="AH192" s="33"/>
      <c r="AI192" s="34">
        <v>1</v>
      </c>
      <c r="AJ192" s="34">
        <v>3</v>
      </c>
      <c r="AK192" s="30"/>
      <c r="AL192" s="32"/>
      <c r="AM192" s="32"/>
      <c r="AN192" s="32"/>
      <c r="AO192" s="79" t="s">
        <v>33</v>
      </c>
      <c r="AP192" s="32"/>
      <c r="AQ192" s="32"/>
    </row>
    <row r="193" spans="1:43" ht="12.75">
      <c r="A193" s="26">
        <f aca="true" t="shared" si="34" ref="A193:A204">A192+1</f>
        <v>2</v>
      </c>
      <c r="B193" s="27" t="s">
        <v>32</v>
      </c>
      <c r="C193" s="26">
        <v>109</v>
      </c>
      <c r="D193" s="26"/>
      <c r="E193" s="28">
        <f aca="true" t="shared" si="35" ref="E193:E205">I193+K193+M193+P193+R193+U193+X193+AA193+AC193+AE193+AG193</f>
        <v>13.4</v>
      </c>
      <c r="F193" s="28">
        <f>E193-G193</f>
        <v>13.4</v>
      </c>
      <c r="G193" s="28"/>
      <c r="H193" s="29"/>
      <c r="I193" s="28"/>
      <c r="J193" s="29"/>
      <c r="K193" s="28"/>
      <c r="L193" s="29"/>
      <c r="M193" s="29"/>
      <c r="N193" s="29"/>
      <c r="O193" s="219"/>
      <c r="P193" s="28"/>
      <c r="Q193" s="26"/>
      <c r="R193" s="26"/>
      <c r="S193" s="26"/>
      <c r="T193" s="26">
        <v>2</v>
      </c>
      <c r="U193" s="26">
        <f>4.2*T193</f>
        <v>8.4</v>
      </c>
      <c r="V193" s="26">
        <v>5</v>
      </c>
      <c r="W193" s="26">
        <v>2</v>
      </c>
      <c r="X193" s="28">
        <v>5</v>
      </c>
      <c r="Y193" s="26"/>
      <c r="Z193" s="29"/>
      <c r="AA193" s="28"/>
      <c r="AB193" s="29"/>
      <c r="AC193" s="28"/>
      <c r="AD193" s="29"/>
      <c r="AE193" s="28"/>
      <c r="AF193" s="29"/>
      <c r="AG193" s="31"/>
      <c r="AH193" s="31"/>
      <c r="AI193" s="34"/>
      <c r="AJ193" s="34"/>
      <c r="AK193" s="30"/>
      <c r="AL193" s="32"/>
      <c r="AM193" s="32"/>
      <c r="AN193" s="32"/>
      <c r="AO193" s="79" t="s">
        <v>34</v>
      </c>
      <c r="AP193" s="32"/>
      <c r="AQ193" s="32"/>
    </row>
    <row r="194" spans="1:43" ht="12.75">
      <c r="A194" s="26">
        <f t="shared" si="34"/>
        <v>3</v>
      </c>
      <c r="B194" s="27" t="s">
        <v>35</v>
      </c>
      <c r="C194" s="26">
        <v>62</v>
      </c>
      <c r="D194" s="26"/>
      <c r="E194" s="28">
        <f t="shared" si="35"/>
        <v>3.6</v>
      </c>
      <c r="F194" s="28">
        <f>E194-G194</f>
        <v>3.6</v>
      </c>
      <c r="G194" s="28"/>
      <c r="H194" s="29"/>
      <c r="I194" s="28"/>
      <c r="J194" s="29"/>
      <c r="K194" s="28"/>
      <c r="L194" s="29"/>
      <c r="M194" s="29"/>
      <c r="N194" s="29"/>
      <c r="O194" s="219"/>
      <c r="P194" s="28"/>
      <c r="Q194" s="26"/>
      <c r="R194" s="26"/>
      <c r="S194" s="26"/>
      <c r="T194" s="26"/>
      <c r="U194" s="26"/>
      <c r="V194" s="26">
        <v>2</v>
      </c>
      <c r="W194" s="26">
        <v>3</v>
      </c>
      <c r="X194" s="28">
        <v>3.6</v>
      </c>
      <c r="Y194" s="26"/>
      <c r="Z194" s="29"/>
      <c r="AA194" s="28"/>
      <c r="AB194" s="29"/>
      <c r="AC194" s="28"/>
      <c r="AD194" s="29"/>
      <c r="AE194" s="28"/>
      <c r="AF194" s="29"/>
      <c r="AG194" s="31"/>
      <c r="AH194" s="31"/>
      <c r="AI194" s="34">
        <v>1</v>
      </c>
      <c r="AJ194" s="34">
        <v>3</v>
      </c>
      <c r="AK194" s="30"/>
      <c r="AL194" s="32"/>
      <c r="AM194" s="32"/>
      <c r="AN194" s="32"/>
      <c r="AO194" s="79" t="s">
        <v>36</v>
      </c>
      <c r="AP194" s="32"/>
      <c r="AQ194" s="32"/>
    </row>
    <row r="195" spans="1:43" ht="12.75">
      <c r="A195" s="26">
        <f t="shared" si="34"/>
        <v>4</v>
      </c>
      <c r="B195" s="27" t="s">
        <v>35</v>
      </c>
      <c r="C195" s="26">
        <v>64</v>
      </c>
      <c r="D195" s="26"/>
      <c r="E195" s="28">
        <f t="shared" si="35"/>
        <v>12</v>
      </c>
      <c r="F195" s="28">
        <f>E195-G195</f>
        <v>12</v>
      </c>
      <c r="G195" s="28"/>
      <c r="H195" s="29"/>
      <c r="I195" s="28"/>
      <c r="J195" s="29"/>
      <c r="K195" s="28"/>
      <c r="L195" s="29"/>
      <c r="M195" s="29"/>
      <c r="N195" s="29"/>
      <c r="O195" s="219"/>
      <c r="P195" s="28"/>
      <c r="Q195" s="26"/>
      <c r="R195" s="26"/>
      <c r="S195" s="26"/>
      <c r="T195" s="26"/>
      <c r="U195" s="26"/>
      <c r="V195" s="26">
        <v>4</v>
      </c>
      <c r="W195" s="26">
        <v>8</v>
      </c>
      <c r="X195" s="28">
        <v>12</v>
      </c>
      <c r="Y195" s="26"/>
      <c r="Z195" s="29"/>
      <c r="AA195" s="28"/>
      <c r="AB195" s="29"/>
      <c r="AC195" s="28"/>
      <c r="AD195" s="29"/>
      <c r="AE195" s="28"/>
      <c r="AF195" s="29"/>
      <c r="AG195" s="31"/>
      <c r="AH195" s="33"/>
      <c r="AI195" s="34">
        <v>1</v>
      </c>
      <c r="AJ195" s="34">
        <v>3</v>
      </c>
      <c r="AK195" s="30"/>
      <c r="AL195" s="32"/>
      <c r="AM195" s="32"/>
      <c r="AN195" s="32"/>
      <c r="AO195" s="79"/>
      <c r="AP195" s="32"/>
      <c r="AQ195" s="32"/>
    </row>
    <row r="196" spans="1:43" ht="12.75">
      <c r="A196" s="26">
        <f t="shared" si="34"/>
        <v>5</v>
      </c>
      <c r="B196" s="27" t="s">
        <v>35</v>
      </c>
      <c r="C196" s="26">
        <v>72</v>
      </c>
      <c r="D196" s="26"/>
      <c r="E196" s="28">
        <f t="shared" si="35"/>
        <v>6</v>
      </c>
      <c r="F196" s="28">
        <f>E196-G196</f>
        <v>6</v>
      </c>
      <c r="G196" s="28"/>
      <c r="H196" s="29"/>
      <c r="I196" s="28"/>
      <c r="J196" s="29"/>
      <c r="K196" s="28"/>
      <c r="L196" s="29"/>
      <c r="M196" s="29"/>
      <c r="N196" s="29"/>
      <c r="O196" s="219"/>
      <c r="P196" s="28"/>
      <c r="Q196" s="26"/>
      <c r="R196" s="26"/>
      <c r="S196" s="26"/>
      <c r="T196" s="26"/>
      <c r="U196" s="26"/>
      <c r="V196" s="26">
        <v>2</v>
      </c>
      <c r="W196" s="26">
        <v>5</v>
      </c>
      <c r="X196" s="28">
        <v>6</v>
      </c>
      <c r="Y196" s="26"/>
      <c r="Z196" s="29"/>
      <c r="AA196" s="28"/>
      <c r="AB196" s="29"/>
      <c r="AC196" s="28"/>
      <c r="AD196" s="29"/>
      <c r="AE196" s="28"/>
      <c r="AF196" s="29"/>
      <c r="AG196" s="31"/>
      <c r="AH196" s="31"/>
      <c r="AI196" s="34">
        <v>1</v>
      </c>
      <c r="AJ196" s="34">
        <v>2</v>
      </c>
      <c r="AK196" s="30"/>
      <c r="AL196" s="32"/>
      <c r="AM196" s="32"/>
      <c r="AN196" s="32"/>
      <c r="AO196" s="79"/>
      <c r="AP196" s="32"/>
      <c r="AQ196" s="32"/>
    </row>
    <row r="197" spans="1:43" ht="22.5">
      <c r="A197" s="26">
        <f t="shared" si="34"/>
        <v>6</v>
      </c>
      <c r="B197" s="27" t="s">
        <v>37</v>
      </c>
      <c r="C197" s="26">
        <v>124</v>
      </c>
      <c r="D197" s="26"/>
      <c r="E197" s="28">
        <f t="shared" si="35"/>
        <v>9.751999999999999</v>
      </c>
      <c r="F197" s="28">
        <f aca="true" t="shared" si="36" ref="F197:F205">E197-G197</f>
        <v>9.751999999999999</v>
      </c>
      <c r="G197" s="28"/>
      <c r="H197" s="29"/>
      <c r="I197" s="28"/>
      <c r="J197" s="29"/>
      <c r="K197" s="28"/>
      <c r="L197" s="29"/>
      <c r="M197" s="29"/>
      <c r="N197" s="29"/>
      <c r="O197" s="219"/>
      <c r="P197" s="28"/>
      <c r="Q197" s="26"/>
      <c r="R197" s="26"/>
      <c r="S197" s="26"/>
      <c r="T197" s="26"/>
      <c r="U197" s="26"/>
      <c r="V197" s="26">
        <v>4</v>
      </c>
      <c r="W197" s="26"/>
      <c r="X197" s="28"/>
      <c r="Y197" s="26"/>
      <c r="Z197" s="225" t="s">
        <v>162</v>
      </c>
      <c r="AA197" s="28">
        <f>2+7.752</f>
        <v>9.751999999999999</v>
      </c>
      <c r="AB197" s="29"/>
      <c r="AC197" s="28"/>
      <c r="AD197" s="29"/>
      <c r="AE197" s="28"/>
      <c r="AF197" s="29"/>
      <c r="AG197" s="31"/>
      <c r="AH197" s="31"/>
      <c r="AI197" s="34">
        <v>1</v>
      </c>
      <c r="AJ197" s="34">
        <v>1</v>
      </c>
      <c r="AK197" s="30"/>
      <c r="AL197" s="32"/>
      <c r="AM197" s="32"/>
      <c r="AN197" s="32"/>
      <c r="AO197" s="79"/>
      <c r="AP197" s="32"/>
      <c r="AQ197" s="32"/>
    </row>
    <row r="198" spans="1:43" ht="12.75">
      <c r="A198" s="26">
        <f t="shared" si="34"/>
        <v>7</v>
      </c>
      <c r="B198" s="27" t="s">
        <v>37</v>
      </c>
      <c r="C198" s="26">
        <v>126</v>
      </c>
      <c r="D198" s="26"/>
      <c r="E198" s="28">
        <f t="shared" si="35"/>
        <v>32</v>
      </c>
      <c r="F198" s="28">
        <f t="shared" si="36"/>
        <v>32</v>
      </c>
      <c r="G198" s="28"/>
      <c r="H198" s="29"/>
      <c r="I198" s="28"/>
      <c r="J198" s="29"/>
      <c r="K198" s="28"/>
      <c r="L198" s="29"/>
      <c r="M198" s="29"/>
      <c r="N198" s="29"/>
      <c r="O198" s="219"/>
      <c r="P198" s="28"/>
      <c r="Q198" s="26"/>
      <c r="R198" s="26"/>
      <c r="S198" s="26"/>
      <c r="T198" s="26"/>
      <c r="U198" s="26"/>
      <c r="V198" s="26">
        <v>8</v>
      </c>
      <c r="W198" s="26">
        <v>23</v>
      </c>
      <c r="X198" s="28">
        <v>32</v>
      </c>
      <c r="Y198" s="26"/>
      <c r="Z198" s="29"/>
      <c r="AA198" s="28"/>
      <c r="AB198" s="29"/>
      <c r="AC198" s="28"/>
      <c r="AD198" s="29"/>
      <c r="AE198" s="28"/>
      <c r="AF198" s="29"/>
      <c r="AG198" s="31"/>
      <c r="AH198" s="31"/>
      <c r="AI198" s="34">
        <v>1</v>
      </c>
      <c r="AJ198" s="34">
        <v>3</v>
      </c>
      <c r="AK198" s="30"/>
      <c r="AL198" s="32"/>
      <c r="AM198" s="32"/>
      <c r="AN198" s="32"/>
      <c r="AO198" s="79"/>
      <c r="AP198" s="32"/>
      <c r="AQ198" s="32"/>
    </row>
    <row r="199" spans="1:43" ht="12.75">
      <c r="A199" s="26">
        <f t="shared" si="34"/>
        <v>8</v>
      </c>
      <c r="B199" s="27" t="s">
        <v>37</v>
      </c>
      <c r="C199" s="26">
        <v>128</v>
      </c>
      <c r="D199" s="26"/>
      <c r="E199" s="28">
        <f t="shared" si="35"/>
        <v>39</v>
      </c>
      <c r="F199" s="28">
        <f t="shared" si="36"/>
        <v>39</v>
      </c>
      <c r="G199" s="28"/>
      <c r="H199" s="29"/>
      <c r="I199" s="28"/>
      <c r="J199" s="29"/>
      <c r="K199" s="28"/>
      <c r="L199" s="29"/>
      <c r="M199" s="29"/>
      <c r="N199" s="29"/>
      <c r="O199" s="219"/>
      <c r="P199" s="28"/>
      <c r="Q199" s="26"/>
      <c r="R199" s="26"/>
      <c r="S199" s="26"/>
      <c r="T199" s="26"/>
      <c r="U199" s="26"/>
      <c r="V199" s="26">
        <v>6</v>
      </c>
      <c r="W199" s="26">
        <v>26</v>
      </c>
      <c r="X199" s="28">
        <v>39</v>
      </c>
      <c r="Y199" s="26"/>
      <c r="Z199" s="225"/>
      <c r="AA199" s="28"/>
      <c r="AB199" s="29"/>
      <c r="AC199" s="28"/>
      <c r="AD199" s="29"/>
      <c r="AE199" s="28"/>
      <c r="AF199" s="29"/>
      <c r="AG199" s="31"/>
      <c r="AH199" s="31"/>
      <c r="AI199" s="34">
        <v>1</v>
      </c>
      <c r="AJ199" s="34">
        <v>4</v>
      </c>
      <c r="AK199" s="30"/>
      <c r="AL199" s="32"/>
      <c r="AM199" s="32"/>
      <c r="AN199" s="32"/>
      <c r="AO199" s="79"/>
      <c r="AP199" s="32"/>
      <c r="AQ199" s="32"/>
    </row>
    <row r="200" spans="1:43" ht="12.75">
      <c r="A200" s="26">
        <f t="shared" si="34"/>
        <v>9</v>
      </c>
      <c r="B200" s="27" t="s">
        <v>39</v>
      </c>
      <c r="C200" s="26">
        <v>1</v>
      </c>
      <c r="D200" s="26" t="s">
        <v>40</v>
      </c>
      <c r="E200" s="28">
        <f t="shared" si="35"/>
        <v>7.752</v>
      </c>
      <c r="F200" s="28">
        <f t="shared" si="36"/>
        <v>7.752</v>
      </c>
      <c r="G200" s="28"/>
      <c r="H200" s="29"/>
      <c r="I200" s="28"/>
      <c r="J200" s="29"/>
      <c r="K200" s="28"/>
      <c r="L200" s="29"/>
      <c r="M200" s="29"/>
      <c r="N200" s="29"/>
      <c r="O200" s="219"/>
      <c r="P200" s="28"/>
      <c r="Q200" s="26"/>
      <c r="R200" s="26"/>
      <c r="S200" s="26"/>
      <c r="T200" s="26"/>
      <c r="U200" s="26"/>
      <c r="V200" s="26"/>
      <c r="W200" s="26"/>
      <c r="X200" s="28"/>
      <c r="Y200" s="26"/>
      <c r="Z200" s="29" t="s">
        <v>38</v>
      </c>
      <c r="AA200" s="28">
        <v>7.752</v>
      </c>
      <c r="AB200" s="29"/>
      <c r="AC200" s="28"/>
      <c r="AD200" s="29"/>
      <c r="AE200" s="28"/>
      <c r="AF200" s="29"/>
      <c r="AG200" s="31"/>
      <c r="AH200" s="31"/>
      <c r="AI200" s="34">
        <v>1</v>
      </c>
      <c r="AJ200" s="34">
        <v>3</v>
      </c>
      <c r="AK200" s="30"/>
      <c r="AL200" s="32"/>
      <c r="AM200" s="32"/>
      <c r="AN200" s="32"/>
      <c r="AO200" s="79"/>
      <c r="AP200" s="32"/>
      <c r="AQ200" s="32"/>
    </row>
    <row r="201" spans="1:43" ht="12.75">
      <c r="A201" s="26">
        <f t="shared" si="34"/>
        <v>10</v>
      </c>
      <c r="B201" s="27" t="s">
        <v>39</v>
      </c>
      <c r="C201" s="26">
        <v>9</v>
      </c>
      <c r="D201" s="26"/>
      <c r="E201" s="28">
        <f t="shared" si="35"/>
        <v>4.748</v>
      </c>
      <c r="F201" s="28">
        <f t="shared" si="36"/>
        <v>4.748</v>
      </c>
      <c r="G201" s="28"/>
      <c r="H201" s="29"/>
      <c r="I201" s="28"/>
      <c r="J201" s="29"/>
      <c r="K201" s="28"/>
      <c r="L201" s="29"/>
      <c r="M201" s="29"/>
      <c r="N201" s="29"/>
      <c r="O201" s="219"/>
      <c r="P201" s="28"/>
      <c r="Q201" s="26"/>
      <c r="R201" s="26"/>
      <c r="S201" s="26"/>
      <c r="T201" s="26"/>
      <c r="U201" s="26"/>
      <c r="V201" s="26">
        <v>8</v>
      </c>
      <c r="W201" s="26">
        <v>1</v>
      </c>
      <c r="X201" s="28">
        <v>2</v>
      </c>
      <c r="Y201" s="26"/>
      <c r="Z201" s="29"/>
      <c r="AA201" s="28"/>
      <c r="AB201" s="29"/>
      <c r="AC201" s="28"/>
      <c r="AD201" s="29"/>
      <c r="AE201" s="28"/>
      <c r="AF201" s="29">
        <v>0.006</v>
      </c>
      <c r="AG201" s="31">
        <f>AF201*458</f>
        <v>2.748</v>
      </c>
      <c r="AH201" s="31"/>
      <c r="AI201" s="34">
        <v>1</v>
      </c>
      <c r="AJ201" s="34">
        <v>4</v>
      </c>
      <c r="AK201" s="30"/>
      <c r="AL201" s="32"/>
      <c r="AM201" s="32"/>
      <c r="AN201" s="32"/>
      <c r="AO201" s="79"/>
      <c r="AP201" s="32"/>
      <c r="AQ201" s="32"/>
    </row>
    <row r="202" spans="1:43" ht="12.75">
      <c r="A202" s="26">
        <f t="shared" si="34"/>
        <v>11</v>
      </c>
      <c r="B202" s="27" t="s">
        <v>39</v>
      </c>
      <c r="C202" s="26">
        <v>11</v>
      </c>
      <c r="D202" s="26" t="s">
        <v>41</v>
      </c>
      <c r="E202" s="28">
        <f t="shared" si="35"/>
        <v>193.164</v>
      </c>
      <c r="F202" s="28">
        <f t="shared" si="36"/>
        <v>193.164</v>
      </c>
      <c r="G202" s="28"/>
      <c r="H202" s="29">
        <v>0.3</v>
      </c>
      <c r="I202" s="28">
        <f>H202*475</f>
        <v>142.5</v>
      </c>
      <c r="J202" s="29"/>
      <c r="K202" s="28"/>
      <c r="L202" s="29"/>
      <c r="M202" s="29"/>
      <c r="N202" s="29"/>
      <c r="O202" s="219"/>
      <c r="P202" s="28"/>
      <c r="Q202" s="26"/>
      <c r="R202" s="26"/>
      <c r="S202" s="26"/>
      <c r="T202" s="26"/>
      <c r="U202" s="26"/>
      <c r="V202" s="26">
        <v>6</v>
      </c>
      <c r="W202" s="26">
        <v>31</v>
      </c>
      <c r="X202" s="28">
        <v>47</v>
      </c>
      <c r="Y202" s="26"/>
      <c r="Z202" s="29"/>
      <c r="AA202" s="28"/>
      <c r="AB202" s="29"/>
      <c r="AC202" s="28"/>
      <c r="AD202" s="29"/>
      <c r="AE202" s="28"/>
      <c r="AF202" s="29">
        <v>0.008</v>
      </c>
      <c r="AG202" s="31">
        <f>AF202*458</f>
        <v>3.664</v>
      </c>
      <c r="AH202" s="31"/>
      <c r="AI202" s="34">
        <v>1</v>
      </c>
      <c r="AJ202" s="34">
        <v>4</v>
      </c>
      <c r="AK202" s="30"/>
      <c r="AL202" s="32"/>
      <c r="AM202" s="32"/>
      <c r="AN202" s="32"/>
      <c r="AO202" s="79"/>
      <c r="AP202" s="32"/>
      <c r="AQ202" s="32"/>
    </row>
    <row r="203" spans="1:43" ht="12.75">
      <c r="A203" s="26">
        <f t="shared" si="34"/>
        <v>12</v>
      </c>
      <c r="B203" s="27" t="s">
        <v>42</v>
      </c>
      <c r="C203" s="26">
        <v>3</v>
      </c>
      <c r="D203" s="26"/>
      <c r="E203" s="28">
        <f t="shared" si="35"/>
        <v>0</v>
      </c>
      <c r="F203" s="28">
        <f t="shared" si="36"/>
        <v>0</v>
      </c>
      <c r="G203" s="28"/>
      <c r="H203" s="29"/>
      <c r="I203" s="28"/>
      <c r="J203" s="29"/>
      <c r="K203" s="28"/>
      <c r="L203" s="29"/>
      <c r="M203" s="29"/>
      <c r="N203" s="29"/>
      <c r="O203" s="219"/>
      <c r="P203" s="28"/>
      <c r="Q203" s="26"/>
      <c r="R203" s="26"/>
      <c r="S203" s="26"/>
      <c r="T203" s="26"/>
      <c r="U203" s="26"/>
      <c r="V203" s="26"/>
      <c r="W203" s="26"/>
      <c r="X203" s="28"/>
      <c r="Y203" s="26"/>
      <c r="Z203" s="225"/>
      <c r="AA203" s="28"/>
      <c r="AB203" s="28"/>
      <c r="AC203" s="28"/>
      <c r="AD203" s="29"/>
      <c r="AE203" s="28"/>
      <c r="AF203" s="29"/>
      <c r="AG203" s="31"/>
      <c r="AH203" s="31"/>
      <c r="AI203" s="34">
        <v>1</v>
      </c>
      <c r="AJ203" s="34">
        <v>3</v>
      </c>
      <c r="AK203" s="30"/>
      <c r="AL203" s="32"/>
      <c r="AM203" s="32"/>
      <c r="AN203" s="32"/>
      <c r="AO203" s="79"/>
      <c r="AP203" s="32"/>
      <c r="AQ203" s="32"/>
    </row>
    <row r="204" spans="1:43" ht="22.5">
      <c r="A204" s="26">
        <f t="shared" si="34"/>
        <v>13</v>
      </c>
      <c r="B204" s="27" t="s">
        <v>43</v>
      </c>
      <c r="C204" s="26">
        <v>113</v>
      </c>
      <c r="D204" s="26"/>
      <c r="E204" s="28">
        <f t="shared" si="35"/>
        <v>106.752</v>
      </c>
      <c r="F204" s="28">
        <f t="shared" si="36"/>
        <v>106.752</v>
      </c>
      <c r="G204" s="28"/>
      <c r="H204" s="29">
        <v>0.08</v>
      </c>
      <c r="I204" s="28">
        <f>H204*475</f>
        <v>38</v>
      </c>
      <c r="J204" s="29"/>
      <c r="K204" s="28"/>
      <c r="L204" s="29"/>
      <c r="M204" s="29"/>
      <c r="N204" s="29"/>
      <c r="O204" s="219"/>
      <c r="P204" s="28"/>
      <c r="Q204" s="26"/>
      <c r="R204" s="26"/>
      <c r="S204" s="26"/>
      <c r="T204" s="26"/>
      <c r="U204" s="26"/>
      <c r="V204" s="26">
        <v>14</v>
      </c>
      <c r="W204" s="26">
        <v>37</v>
      </c>
      <c r="X204" s="28">
        <v>55</v>
      </c>
      <c r="Y204" s="26"/>
      <c r="Z204" s="225" t="s">
        <v>163</v>
      </c>
      <c r="AA204" s="28">
        <f>6+7.752</f>
        <v>13.751999999999999</v>
      </c>
      <c r="AB204" s="29"/>
      <c r="AC204" s="28"/>
      <c r="AD204" s="29"/>
      <c r="AE204" s="28"/>
      <c r="AF204" s="29"/>
      <c r="AG204" s="31"/>
      <c r="AH204" s="31"/>
      <c r="AI204" s="34">
        <v>1</v>
      </c>
      <c r="AJ204" s="34">
        <v>5</v>
      </c>
      <c r="AK204" s="30"/>
      <c r="AL204" s="32"/>
      <c r="AM204" s="32"/>
      <c r="AN204" s="32"/>
      <c r="AO204" s="79"/>
      <c r="AP204" s="32"/>
      <c r="AQ204" s="32"/>
    </row>
    <row r="205" spans="1:43" ht="12.75">
      <c r="A205" s="26">
        <f>A204+1</f>
        <v>14</v>
      </c>
      <c r="B205" s="27" t="s">
        <v>43</v>
      </c>
      <c r="C205" s="26">
        <v>126</v>
      </c>
      <c r="D205" s="26"/>
      <c r="E205" s="28">
        <f t="shared" si="35"/>
        <v>157.5</v>
      </c>
      <c r="F205" s="28">
        <f t="shared" si="36"/>
        <v>157.5</v>
      </c>
      <c r="G205" s="28"/>
      <c r="H205" s="29">
        <v>0.05</v>
      </c>
      <c r="I205" s="28">
        <f>H205*1450</f>
        <v>72.5</v>
      </c>
      <c r="J205" s="29"/>
      <c r="K205" s="28"/>
      <c r="L205" s="29"/>
      <c r="M205" s="29"/>
      <c r="N205" s="29"/>
      <c r="O205" s="219"/>
      <c r="P205" s="28"/>
      <c r="Q205" s="26"/>
      <c r="R205" s="26"/>
      <c r="S205" s="26"/>
      <c r="T205" s="26"/>
      <c r="U205" s="26"/>
      <c r="V205" s="26">
        <v>13</v>
      </c>
      <c r="W205" s="26">
        <v>57</v>
      </c>
      <c r="X205" s="28">
        <v>85</v>
      </c>
      <c r="Y205" s="26"/>
      <c r="Z205" s="220"/>
      <c r="AA205" s="28"/>
      <c r="AB205" s="29"/>
      <c r="AC205" s="28"/>
      <c r="AD205" s="29"/>
      <c r="AE205" s="28"/>
      <c r="AF205" s="29"/>
      <c r="AG205" s="31"/>
      <c r="AH205" s="31"/>
      <c r="AI205" s="34"/>
      <c r="AJ205" s="34">
        <v>9</v>
      </c>
      <c r="AK205" s="30"/>
      <c r="AL205" s="32"/>
      <c r="AM205" s="32"/>
      <c r="AN205" s="32"/>
      <c r="AO205" s="79"/>
      <c r="AP205" s="32"/>
      <c r="AQ205" s="32"/>
    </row>
    <row r="206" spans="1:43" ht="12.75">
      <c r="A206" s="22">
        <f>A205</f>
        <v>14</v>
      </c>
      <c r="B206" s="237" t="s">
        <v>133</v>
      </c>
      <c r="C206" s="262">
        <f>6*101.792</f>
        <v>610.752</v>
      </c>
      <c r="D206" s="262"/>
      <c r="E206" s="23">
        <f aca="true" t="shared" si="37" ref="E206:AG206">SUM(E192:E205)</f>
        <v>589.6679999999999</v>
      </c>
      <c r="F206" s="23">
        <f t="shared" si="37"/>
        <v>589.6679999999999</v>
      </c>
      <c r="G206" s="23">
        <f t="shared" si="37"/>
        <v>0</v>
      </c>
      <c r="H206" s="35">
        <f t="shared" si="37"/>
        <v>0.43</v>
      </c>
      <c r="I206" s="23">
        <f t="shared" si="37"/>
        <v>253</v>
      </c>
      <c r="J206" s="35">
        <f t="shared" si="37"/>
        <v>0</v>
      </c>
      <c r="K206" s="23">
        <f t="shared" si="37"/>
        <v>0</v>
      </c>
      <c r="L206" s="35">
        <f t="shared" si="37"/>
        <v>0</v>
      </c>
      <c r="M206" s="35">
        <f t="shared" si="37"/>
        <v>0</v>
      </c>
      <c r="N206" s="35">
        <f t="shared" si="37"/>
        <v>0</v>
      </c>
      <c r="O206" s="221">
        <f t="shared" si="37"/>
        <v>0</v>
      </c>
      <c r="P206" s="35">
        <f t="shared" si="37"/>
        <v>0</v>
      </c>
      <c r="Q206" s="22">
        <f t="shared" si="37"/>
        <v>0</v>
      </c>
      <c r="R206" s="23">
        <f t="shared" si="37"/>
        <v>0</v>
      </c>
      <c r="S206" s="22">
        <f t="shared" si="37"/>
        <v>0</v>
      </c>
      <c r="T206" s="22">
        <f t="shared" si="37"/>
        <v>2</v>
      </c>
      <c r="U206" s="28">
        <f t="shared" si="37"/>
        <v>8.4</v>
      </c>
      <c r="V206" s="22">
        <f t="shared" si="37"/>
        <v>72</v>
      </c>
      <c r="W206" s="22">
        <f t="shared" si="37"/>
        <v>193</v>
      </c>
      <c r="X206" s="28">
        <f t="shared" si="37"/>
        <v>286.6</v>
      </c>
      <c r="Y206" s="22">
        <f t="shared" si="37"/>
        <v>0</v>
      </c>
      <c r="Z206" s="35">
        <f t="shared" si="37"/>
        <v>0</v>
      </c>
      <c r="AA206" s="23">
        <f t="shared" si="37"/>
        <v>35.256</v>
      </c>
      <c r="AB206" s="35">
        <f t="shared" si="37"/>
        <v>0</v>
      </c>
      <c r="AC206" s="23">
        <f t="shared" si="37"/>
        <v>0</v>
      </c>
      <c r="AD206" s="35">
        <f t="shared" si="37"/>
        <v>0</v>
      </c>
      <c r="AE206" s="23">
        <f t="shared" si="37"/>
        <v>0</v>
      </c>
      <c r="AF206" s="35">
        <f t="shared" si="37"/>
        <v>0.014</v>
      </c>
      <c r="AG206" s="23">
        <f t="shared" si="37"/>
        <v>6.412000000000001</v>
      </c>
      <c r="AH206" s="23"/>
      <c r="AI206" s="22">
        <f aca="true" t="shared" si="38" ref="AI206:AN206">SUM(AI192:AI205)</f>
        <v>12</v>
      </c>
      <c r="AJ206" s="22">
        <f t="shared" si="38"/>
        <v>47</v>
      </c>
      <c r="AK206" s="35">
        <f t="shared" si="38"/>
        <v>0</v>
      </c>
      <c r="AL206" s="22">
        <f t="shared" si="38"/>
        <v>0</v>
      </c>
      <c r="AM206" s="22">
        <f t="shared" si="38"/>
        <v>0</v>
      </c>
      <c r="AN206" s="22">
        <f t="shared" si="38"/>
        <v>0</v>
      </c>
      <c r="AO206" s="79"/>
      <c r="AP206" s="32"/>
      <c r="AQ206" s="32"/>
    </row>
    <row r="207" spans="1:43" ht="12" customHeight="1">
      <c r="A207" s="26">
        <v>1</v>
      </c>
      <c r="B207" s="27" t="s">
        <v>37</v>
      </c>
      <c r="C207" s="26">
        <v>66</v>
      </c>
      <c r="D207" s="26"/>
      <c r="E207" s="28">
        <f>I207+K207+P207+X207+AA207+AC207+AE207+AG207</f>
        <v>0</v>
      </c>
      <c r="F207" s="28">
        <f>E207-G207</f>
        <v>0</v>
      </c>
      <c r="G207" s="28"/>
      <c r="H207" s="29"/>
      <c r="I207" s="28"/>
      <c r="J207" s="29"/>
      <c r="K207" s="28"/>
      <c r="L207" s="29"/>
      <c r="M207" s="29"/>
      <c r="N207" s="29"/>
      <c r="O207" s="219"/>
      <c r="P207" s="28"/>
      <c r="Q207" s="26"/>
      <c r="R207" s="26"/>
      <c r="S207" s="26"/>
      <c r="T207" s="26"/>
      <c r="U207" s="26"/>
      <c r="V207" s="26"/>
      <c r="W207" s="26"/>
      <c r="X207" s="28">
        <f>W207*2*0.234</f>
        <v>0</v>
      </c>
      <c r="Y207" s="26"/>
      <c r="Z207" s="29"/>
      <c r="AA207" s="28"/>
      <c r="AB207" s="29"/>
      <c r="AC207" s="28"/>
      <c r="AD207" s="29"/>
      <c r="AE207" s="28"/>
      <c r="AF207" s="29"/>
      <c r="AG207" s="31"/>
      <c r="AH207" s="31"/>
      <c r="AI207" s="34">
        <v>1</v>
      </c>
      <c r="AJ207" s="34">
        <v>1</v>
      </c>
      <c r="AK207" s="30"/>
      <c r="AL207" s="32"/>
      <c r="AM207" s="26"/>
      <c r="AN207" s="32"/>
      <c r="AO207" s="79"/>
      <c r="AP207" s="32"/>
      <c r="AQ207" s="32"/>
    </row>
    <row r="208" spans="1:43" ht="12" customHeight="1">
      <c r="A208" s="26"/>
      <c r="B208" s="27"/>
      <c r="C208" s="26"/>
      <c r="D208" s="26"/>
      <c r="E208" s="28"/>
      <c r="F208" s="28"/>
      <c r="G208" s="28"/>
      <c r="H208" s="29"/>
      <c r="I208" s="28"/>
      <c r="J208" s="29"/>
      <c r="K208" s="28"/>
      <c r="L208" s="29"/>
      <c r="M208" s="29"/>
      <c r="N208" s="29"/>
      <c r="O208" s="219"/>
      <c r="P208" s="28"/>
      <c r="Q208" s="26"/>
      <c r="R208" s="26"/>
      <c r="S208" s="26"/>
      <c r="T208" s="26"/>
      <c r="U208" s="26"/>
      <c r="V208" s="26"/>
      <c r="W208" s="26"/>
      <c r="X208" s="28"/>
      <c r="Y208" s="26"/>
      <c r="Z208" s="29"/>
      <c r="AA208" s="28"/>
      <c r="AB208" s="29"/>
      <c r="AC208" s="28"/>
      <c r="AD208" s="29"/>
      <c r="AE208" s="28"/>
      <c r="AF208" s="29"/>
      <c r="AG208" s="31"/>
      <c r="AH208" s="31"/>
      <c r="AI208" s="34"/>
      <c r="AJ208" s="34"/>
      <c r="AK208" s="30"/>
      <c r="AL208" s="32"/>
      <c r="AM208" s="26"/>
      <c r="AN208" s="32"/>
      <c r="AO208" s="79"/>
      <c r="AP208" s="32"/>
      <c r="AQ208" s="32"/>
    </row>
    <row r="209" spans="1:43" ht="12" customHeight="1">
      <c r="A209" s="62">
        <f>A208+A207+A206+A191+A178+A116+A93+A52+A31</f>
        <v>192</v>
      </c>
      <c r="B209" s="22" t="s">
        <v>93</v>
      </c>
      <c r="C209" s="283">
        <f>C206+C191+C178+C116+C93+C52+C31</f>
        <v>9665.882</v>
      </c>
      <c r="D209" s="262"/>
      <c r="E209" s="226">
        <f aca="true" t="shared" si="39" ref="E209:AG209">E208+E207+E206+E191+E178+E116+E93+E52+E31</f>
        <v>5682.973400000001</v>
      </c>
      <c r="F209" s="226">
        <f t="shared" si="39"/>
        <v>5682.973400000001</v>
      </c>
      <c r="G209" s="23">
        <f t="shared" si="39"/>
        <v>0</v>
      </c>
      <c r="H209" s="35">
        <f t="shared" si="39"/>
        <v>2.7815000000000007</v>
      </c>
      <c r="I209" s="23">
        <f t="shared" si="39"/>
        <v>1445.02</v>
      </c>
      <c r="J209" s="35">
        <f t="shared" si="39"/>
        <v>5.1031</v>
      </c>
      <c r="K209" s="23">
        <f t="shared" si="39"/>
        <v>2351.3641</v>
      </c>
      <c r="L209" s="35">
        <f t="shared" si="39"/>
        <v>0.138</v>
      </c>
      <c r="M209" s="35">
        <f t="shared" si="39"/>
        <v>48.300000000000004</v>
      </c>
      <c r="N209" s="22">
        <f t="shared" si="39"/>
        <v>0</v>
      </c>
      <c r="O209" s="221">
        <f t="shared" si="39"/>
        <v>0.1915</v>
      </c>
      <c r="P209" s="23">
        <f t="shared" si="39"/>
        <v>185.82850000000002</v>
      </c>
      <c r="Q209" s="22">
        <f t="shared" si="39"/>
        <v>0</v>
      </c>
      <c r="R209" s="23">
        <f t="shared" si="39"/>
        <v>0</v>
      </c>
      <c r="S209" s="22">
        <f t="shared" si="39"/>
        <v>454</v>
      </c>
      <c r="T209" s="22">
        <f t="shared" si="39"/>
        <v>6</v>
      </c>
      <c r="U209" s="23">
        <f t="shared" si="39"/>
        <v>25.200000000000003</v>
      </c>
      <c r="V209" s="22">
        <f t="shared" si="39"/>
        <v>1164.7</v>
      </c>
      <c r="W209" s="22">
        <f t="shared" si="39"/>
        <v>2844</v>
      </c>
      <c r="X209" s="23">
        <f t="shared" si="39"/>
        <v>437.17680000000007</v>
      </c>
      <c r="Y209" s="23">
        <f t="shared" si="39"/>
        <v>0</v>
      </c>
      <c r="Z209" s="35">
        <f t="shared" si="39"/>
        <v>0.01</v>
      </c>
      <c r="AA209" s="23">
        <f t="shared" si="39"/>
        <v>546.973</v>
      </c>
      <c r="AB209" s="35">
        <f t="shared" si="39"/>
        <v>0.606</v>
      </c>
      <c r="AC209" s="23">
        <f t="shared" si="39"/>
        <v>381.672</v>
      </c>
      <c r="AD209" s="35">
        <f t="shared" si="39"/>
        <v>0</v>
      </c>
      <c r="AE209" s="23">
        <f t="shared" si="39"/>
        <v>11.808</v>
      </c>
      <c r="AF209" s="35">
        <f t="shared" si="39"/>
        <v>0.264</v>
      </c>
      <c r="AG209" s="23">
        <f t="shared" si="39"/>
        <v>6.412000000000001</v>
      </c>
      <c r="AH209" s="23"/>
      <c r="AI209" s="22">
        <f aca="true" t="shared" si="40" ref="AI209:AN209">AI208+AI207+AI206+AI191+AI178+AI116+AI93+AI52+AI31</f>
        <v>75</v>
      </c>
      <c r="AJ209" s="22">
        <f t="shared" si="40"/>
        <v>643</v>
      </c>
      <c r="AK209" s="23">
        <f t="shared" si="40"/>
        <v>0</v>
      </c>
      <c r="AL209" s="23">
        <f t="shared" si="40"/>
        <v>0</v>
      </c>
      <c r="AM209" s="22">
        <f t="shared" si="40"/>
        <v>33</v>
      </c>
      <c r="AN209" s="22">
        <f t="shared" si="40"/>
        <v>0</v>
      </c>
      <c r="AO209" s="77"/>
      <c r="AP209" s="23"/>
      <c r="AQ209" s="23"/>
    </row>
    <row r="210" spans="1:43" ht="12.75">
      <c r="A210" s="32"/>
      <c r="B210" s="32" t="s">
        <v>94</v>
      </c>
      <c r="C210" s="32"/>
      <c r="D210" s="32"/>
      <c r="E210" s="31"/>
      <c r="F210" s="31"/>
      <c r="G210" s="31"/>
      <c r="H210" s="30"/>
      <c r="I210" s="31"/>
      <c r="J210" s="30"/>
      <c r="K210" s="31"/>
      <c r="L210" s="30"/>
      <c r="M210" s="30"/>
      <c r="N210" s="76"/>
      <c r="O210" s="245"/>
      <c r="P210" s="31"/>
      <c r="Q210" s="76"/>
      <c r="R210" s="32"/>
      <c r="S210" s="76"/>
      <c r="T210" s="76"/>
      <c r="U210" s="31"/>
      <c r="V210" s="76"/>
      <c r="W210" s="76"/>
      <c r="X210" s="31"/>
      <c r="Y210" s="30"/>
      <c r="Z210" s="30"/>
      <c r="AA210" s="30"/>
      <c r="AB210" s="30"/>
      <c r="AC210" s="30"/>
      <c r="AD210" s="30"/>
      <c r="AE210" s="31"/>
      <c r="AF210" s="30"/>
      <c r="AG210" s="32"/>
      <c r="AH210" s="30"/>
      <c r="AI210" s="76"/>
      <c r="AJ210" s="76"/>
      <c r="AK210" s="32"/>
      <c r="AL210" s="82"/>
      <c r="AM210" s="76"/>
      <c r="AN210" s="76"/>
      <c r="AO210"/>
      <c r="AP210"/>
      <c r="AQ210"/>
    </row>
    <row r="211" spans="1:43" ht="12.75">
      <c r="A211" s="22">
        <v>1</v>
      </c>
      <c r="B211" s="23" t="str">
        <f>B31</f>
        <v>итого 3й микр-н</v>
      </c>
      <c r="C211" s="261"/>
      <c r="D211" s="261"/>
      <c r="E211" s="23">
        <f>E31</f>
        <v>364.91380000000004</v>
      </c>
      <c r="F211" s="23">
        <f aca="true" t="shared" si="41" ref="F211:AN211">F31</f>
        <v>364.91380000000004</v>
      </c>
      <c r="G211" s="23">
        <f t="shared" si="41"/>
        <v>0</v>
      </c>
      <c r="H211" s="35">
        <f t="shared" si="41"/>
        <v>0.015</v>
      </c>
      <c r="I211" s="23">
        <f t="shared" si="41"/>
        <v>21.75</v>
      </c>
      <c r="J211" s="35">
        <f t="shared" si="41"/>
        <v>0.2726</v>
      </c>
      <c r="K211" s="23">
        <f t="shared" si="41"/>
        <v>131.6658</v>
      </c>
      <c r="L211" s="35">
        <f t="shared" si="41"/>
        <v>0</v>
      </c>
      <c r="M211" s="35">
        <f>M31</f>
        <v>0</v>
      </c>
      <c r="N211" s="22">
        <f t="shared" si="41"/>
        <v>0</v>
      </c>
      <c r="O211" s="221">
        <f t="shared" si="41"/>
        <v>0.024</v>
      </c>
      <c r="P211" s="23">
        <f t="shared" si="41"/>
        <v>25.128</v>
      </c>
      <c r="Q211" s="22">
        <f t="shared" si="41"/>
        <v>0</v>
      </c>
      <c r="R211" s="23">
        <f t="shared" si="41"/>
        <v>0</v>
      </c>
      <c r="S211" s="22">
        <f t="shared" si="41"/>
        <v>30</v>
      </c>
      <c r="T211" s="22">
        <f t="shared" si="41"/>
        <v>0</v>
      </c>
      <c r="U211" s="23">
        <f t="shared" si="41"/>
        <v>0</v>
      </c>
      <c r="V211" s="22">
        <f t="shared" si="41"/>
        <v>24</v>
      </c>
      <c r="W211" s="22">
        <f t="shared" si="41"/>
        <v>0</v>
      </c>
      <c r="X211" s="23">
        <f t="shared" si="41"/>
        <v>0</v>
      </c>
      <c r="Y211" s="23">
        <f t="shared" si="41"/>
        <v>0</v>
      </c>
      <c r="Z211" s="35">
        <f t="shared" si="41"/>
        <v>0</v>
      </c>
      <c r="AA211" s="23">
        <f t="shared" si="41"/>
        <v>186.37</v>
      </c>
      <c r="AB211" s="35">
        <f t="shared" si="41"/>
        <v>0</v>
      </c>
      <c r="AC211" s="23">
        <f t="shared" si="41"/>
        <v>0</v>
      </c>
      <c r="AD211" s="35">
        <f t="shared" si="41"/>
        <v>0</v>
      </c>
      <c r="AE211" s="23">
        <f t="shared" si="41"/>
        <v>0</v>
      </c>
      <c r="AF211" s="35">
        <f t="shared" si="41"/>
        <v>0</v>
      </c>
      <c r="AG211" s="23">
        <f t="shared" si="41"/>
        <v>0</v>
      </c>
      <c r="AH211" s="23"/>
      <c r="AI211" s="22">
        <f t="shared" si="41"/>
        <v>1</v>
      </c>
      <c r="AJ211" s="22">
        <f t="shared" si="41"/>
        <v>72</v>
      </c>
      <c r="AK211" s="23">
        <f t="shared" si="41"/>
        <v>0</v>
      </c>
      <c r="AL211" s="23">
        <f t="shared" si="41"/>
        <v>0</v>
      </c>
      <c r="AM211" s="22">
        <f t="shared" si="41"/>
        <v>0</v>
      </c>
      <c r="AN211" s="22">
        <f t="shared" si="41"/>
        <v>0</v>
      </c>
      <c r="AO211" s="77"/>
      <c r="AP211" s="23"/>
      <c r="AQ211" s="23"/>
    </row>
    <row r="212" spans="1:43" ht="12.75">
      <c r="A212" s="22">
        <v>2</v>
      </c>
      <c r="B212" s="23" t="str">
        <f>B52</f>
        <v>итого 1й микр-н</v>
      </c>
      <c r="C212" s="261"/>
      <c r="D212" s="261"/>
      <c r="E212" s="23">
        <f>E52</f>
        <v>258.495</v>
      </c>
      <c r="F212" s="23">
        <f aca="true" t="shared" si="42" ref="F212:AN212">F52</f>
        <v>258.495</v>
      </c>
      <c r="G212" s="23">
        <f t="shared" si="42"/>
        <v>0</v>
      </c>
      <c r="H212" s="35">
        <f t="shared" si="42"/>
        <v>0.032</v>
      </c>
      <c r="I212" s="23">
        <f t="shared" si="42"/>
        <v>26.900000000000002</v>
      </c>
      <c r="J212" s="35">
        <f t="shared" si="42"/>
        <v>0.040999999999999995</v>
      </c>
      <c r="K212" s="23">
        <f t="shared" si="42"/>
        <v>19.803</v>
      </c>
      <c r="L212" s="35">
        <f t="shared" si="42"/>
        <v>0</v>
      </c>
      <c r="M212" s="35">
        <f>M52</f>
        <v>0</v>
      </c>
      <c r="N212" s="22">
        <f t="shared" si="42"/>
        <v>0</v>
      </c>
      <c r="O212" s="221">
        <f t="shared" si="42"/>
        <v>0.094</v>
      </c>
      <c r="P212" s="23">
        <f t="shared" si="42"/>
        <v>98.418</v>
      </c>
      <c r="Q212" s="22">
        <f t="shared" si="42"/>
        <v>0</v>
      </c>
      <c r="R212" s="23">
        <f t="shared" si="42"/>
        <v>0</v>
      </c>
      <c r="S212" s="22">
        <f t="shared" si="42"/>
        <v>60</v>
      </c>
      <c r="T212" s="22">
        <f t="shared" si="42"/>
        <v>0</v>
      </c>
      <c r="U212" s="23">
        <f t="shared" si="42"/>
        <v>0</v>
      </c>
      <c r="V212" s="22">
        <f t="shared" si="42"/>
        <v>198</v>
      </c>
      <c r="W212" s="22">
        <f t="shared" si="42"/>
        <v>0</v>
      </c>
      <c r="X212" s="23">
        <f t="shared" si="42"/>
        <v>0</v>
      </c>
      <c r="Y212" s="23">
        <f t="shared" si="42"/>
        <v>0</v>
      </c>
      <c r="Z212" s="35">
        <f t="shared" si="42"/>
        <v>0.01</v>
      </c>
      <c r="AA212" s="23">
        <f t="shared" si="42"/>
        <v>21.528</v>
      </c>
      <c r="AB212" s="35">
        <f t="shared" si="42"/>
        <v>0.37</v>
      </c>
      <c r="AC212" s="23">
        <f t="shared" si="42"/>
        <v>80.03800000000001</v>
      </c>
      <c r="AD212" s="35">
        <f t="shared" si="42"/>
        <v>0</v>
      </c>
      <c r="AE212" s="23">
        <f t="shared" si="42"/>
        <v>11.808</v>
      </c>
      <c r="AF212" s="35">
        <f t="shared" si="42"/>
        <v>0</v>
      </c>
      <c r="AG212" s="23">
        <f t="shared" si="42"/>
        <v>0</v>
      </c>
      <c r="AH212" s="23"/>
      <c r="AI212" s="22">
        <f t="shared" si="42"/>
        <v>20</v>
      </c>
      <c r="AJ212" s="22">
        <f t="shared" si="42"/>
        <v>61</v>
      </c>
      <c r="AK212" s="23">
        <f t="shared" si="42"/>
        <v>0</v>
      </c>
      <c r="AL212" s="23">
        <f t="shared" si="42"/>
        <v>0</v>
      </c>
      <c r="AM212" s="22">
        <f t="shared" si="42"/>
        <v>0</v>
      </c>
      <c r="AN212" s="22">
        <f t="shared" si="42"/>
        <v>0</v>
      </c>
      <c r="AO212" s="77"/>
      <c r="AP212" s="23"/>
      <c r="AQ212" s="23"/>
    </row>
    <row r="213" spans="1:43" ht="12.75">
      <c r="A213" s="22">
        <v>3</v>
      </c>
      <c r="B213" s="23" t="str">
        <f>B93</f>
        <v>итого 4-5 микр-н</v>
      </c>
      <c r="C213" s="261"/>
      <c r="D213" s="261"/>
      <c r="E213" s="23">
        <f>E93</f>
        <v>508.3903</v>
      </c>
      <c r="F213" s="23">
        <f aca="true" t="shared" si="43" ref="F213:AN213">F93</f>
        <v>508.3903</v>
      </c>
      <c r="G213" s="23">
        <f t="shared" si="43"/>
        <v>0</v>
      </c>
      <c r="H213" s="35">
        <f t="shared" si="43"/>
        <v>0.2565</v>
      </c>
      <c r="I213" s="23">
        <f t="shared" si="43"/>
        <v>162.3</v>
      </c>
      <c r="J213" s="35">
        <f t="shared" si="43"/>
        <v>0.8045</v>
      </c>
      <c r="K213" s="23">
        <f t="shared" si="43"/>
        <v>239.7163</v>
      </c>
      <c r="L213" s="35">
        <f t="shared" si="43"/>
        <v>0</v>
      </c>
      <c r="M213" s="35">
        <f>M93</f>
        <v>0</v>
      </c>
      <c r="N213" s="22">
        <f t="shared" si="43"/>
        <v>0</v>
      </c>
      <c r="O213" s="221">
        <f t="shared" si="43"/>
        <v>0.024</v>
      </c>
      <c r="P213" s="23">
        <f t="shared" si="43"/>
        <v>25.128</v>
      </c>
      <c r="Q213" s="22">
        <f t="shared" si="43"/>
        <v>0</v>
      </c>
      <c r="R213" s="23">
        <f t="shared" si="43"/>
        <v>0</v>
      </c>
      <c r="S213" s="22">
        <f t="shared" si="43"/>
        <v>330</v>
      </c>
      <c r="T213" s="22">
        <f t="shared" si="43"/>
        <v>0</v>
      </c>
      <c r="U213" s="23">
        <f t="shared" si="43"/>
        <v>0</v>
      </c>
      <c r="V213" s="22">
        <f t="shared" si="43"/>
        <v>225.70000000000002</v>
      </c>
      <c r="W213" s="22">
        <f t="shared" si="43"/>
        <v>0</v>
      </c>
      <c r="X213" s="23">
        <f t="shared" si="43"/>
        <v>0</v>
      </c>
      <c r="Y213" s="23">
        <f t="shared" si="43"/>
        <v>0</v>
      </c>
      <c r="Z213" s="35">
        <f t="shared" si="43"/>
        <v>0</v>
      </c>
      <c r="AA213" s="23">
        <f t="shared" si="43"/>
        <v>0</v>
      </c>
      <c r="AB213" s="35">
        <f t="shared" si="43"/>
        <v>0.1</v>
      </c>
      <c r="AC213" s="23">
        <f t="shared" si="43"/>
        <v>0</v>
      </c>
      <c r="AD213" s="35">
        <f t="shared" si="43"/>
        <v>0</v>
      </c>
      <c r="AE213" s="23">
        <f t="shared" si="43"/>
        <v>0</v>
      </c>
      <c r="AF213" s="35">
        <f t="shared" si="43"/>
        <v>0</v>
      </c>
      <c r="AG213" s="23">
        <f t="shared" si="43"/>
        <v>0</v>
      </c>
      <c r="AH213" s="23"/>
      <c r="AI213" s="22">
        <f t="shared" si="43"/>
        <v>9</v>
      </c>
      <c r="AJ213" s="22">
        <f t="shared" si="43"/>
        <v>145</v>
      </c>
      <c r="AK213" s="23">
        <f t="shared" si="43"/>
        <v>0</v>
      </c>
      <c r="AL213" s="23">
        <f t="shared" si="43"/>
        <v>0</v>
      </c>
      <c r="AM213" s="22">
        <f t="shared" si="43"/>
        <v>0</v>
      </c>
      <c r="AN213" s="22">
        <f t="shared" si="43"/>
        <v>0</v>
      </c>
      <c r="AO213" s="77"/>
      <c r="AP213" s="23"/>
      <c r="AQ213" s="23"/>
    </row>
    <row r="214" spans="1:43" ht="12.75">
      <c r="A214" s="22">
        <v>4</v>
      </c>
      <c r="B214" s="23" t="str">
        <f>B116</f>
        <v>итого 6й микр-н</v>
      </c>
      <c r="C214" s="261"/>
      <c r="D214" s="261"/>
      <c r="E214" s="23">
        <f>E116</f>
        <v>1686.7923</v>
      </c>
      <c r="F214" s="23">
        <f aca="true" t="shared" si="44" ref="F214:AN214">F116</f>
        <v>1686.7923</v>
      </c>
      <c r="G214" s="23">
        <f t="shared" si="44"/>
        <v>0</v>
      </c>
      <c r="H214" s="35">
        <f t="shared" si="44"/>
        <v>0.42900000000000005</v>
      </c>
      <c r="I214" s="23">
        <f t="shared" si="44"/>
        <v>216.36599999999999</v>
      </c>
      <c r="J214" s="35">
        <f t="shared" si="44"/>
        <v>1.516</v>
      </c>
      <c r="K214" s="23">
        <f t="shared" si="44"/>
        <v>767.6519999999999</v>
      </c>
      <c r="L214" s="35">
        <f t="shared" si="44"/>
        <v>0</v>
      </c>
      <c r="M214" s="35">
        <f>M116</f>
        <v>0</v>
      </c>
      <c r="N214" s="22">
        <f t="shared" si="44"/>
        <v>0</v>
      </c>
      <c r="O214" s="221">
        <f t="shared" si="44"/>
        <v>0.04950000000000001</v>
      </c>
      <c r="P214" s="23">
        <f t="shared" si="44"/>
        <v>37.15449999999999</v>
      </c>
      <c r="Q214" s="22">
        <f t="shared" si="44"/>
        <v>0</v>
      </c>
      <c r="R214" s="23">
        <f t="shared" si="44"/>
        <v>0</v>
      </c>
      <c r="S214" s="22">
        <f t="shared" si="44"/>
        <v>0</v>
      </c>
      <c r="T214" s="22">
        <f t="shared" si="44"/>
        <v>4</v>
      </c>
      <c r="U214" s="23">
        <f t="shared" si="44"/>
        <v>16.8</v>
      </c>
      <c r="V214" s="22">
        <f t="shared" si="44"/>
        <v>0</v>
      </c>
      <c r="W214" s="22">
        <f t="shared" si="44"/>
        <v>2651</v>
      </c>
      <c r="X214" s="23">
        <f t="shared" si="44"/>
        <v>150.57680000000002</v>
      </c>
      <c r="Y214" s="23">
        <f t="shared" si="44"/>
        <v>0</v>
      </c>
      <c r="Z214" s="35">
        <f t="shared" si="44"/>
        <v>0</v>
      </c>
      <c r="AA214" s="23">
        <f t="shared" si="44"/>
        <v>50.873000000000005</v>
      </c>
      <c r="AB214" s="35">
        <f t="shared" si="44"/>
        <v>0.12</v>
      </c>
      <c r="AC214" s="23">
        <f t="shared" si="44"/>
        <v>285.397</v>
      </c>
      <c r="AD214" s="35">
        <f t="shared" si="44"/>
        <v>0</v>
      </c>
      <c r="AE214" s="23">
        <f t="shared" si="44"/>
        <v>0</v>
      </c>
      <c r="AF214" s="35">
        <f t="shared" si="44"/>
        <v>0.25</v>
      </c>
      <c r="AG214" s="23">
        <f t="shared" si="44"/>
        <v>0</v>
      </c>
      <c r="AH214" s="23"/>
      <c r="AI214" s="22">
        <f t="shared" si="44"/>
        <v>2</v>
      </c>
      <c r="AJ214" s="22">
        <f t="shared" si="44"/>
        <v>99</v>
      </c>
      <c r="AK214" s="23">
        <f t="shared" si="44"/>
        <v>0</v>
      </c>
      <c r="AL214" s="23">
        <f t="shared" si="44"/>
        <v>0</v>
      </c>
      <c r="AM214" s="22">
        <f t="shared" si="44"/>
        <v>0</v>
      </c>
      <c r="AN214" s="22">
        <f t="shared" si="44"/>
        <v>0</v>
      </c>
      <c r="AO214" s="77"/>
      <c r="AP214" s="23"/>
      <c r="AQ214" s="23"/>
    </row>
    <row r="215" spans="1:43" ht="12.75">
      <c r="A215" s="22">
        <v>5</v>
      </c>
      <c r="B215" s="23" t="str">
        <f>B178</f>
        <v>итого 2й, Вост.микр-н, Войновка</v>
      </c>
      <c r="C215" s="261"/>
      <c r="D215" s="261"/>
      <c r="E215" s="23">
        <f>E178</f>
        <v>1582.2980000000005</v>
      </c>
      <c r="F215" s="23">
        <f aca="true" t="shared" si="45" ref="F215:AN215">F178</f>
        <v>1582.2980000000005</v>
      </c>
      <c r="G215" s="23">
        <f t="shared" si="45"/>
        <v>0</v>
      </c>
      <c r="H215" s="35">
        <f t="shared" si="45"/>
        <v>1.5900000000000003</v>
      </c>
      <c r="I215" s="23">
        <f t="shared" si="45"/>
        <v>755.25</v>
      </c>
      <c r="J215" s="35">
        <f t="shared" si="45"/>
        <v>1.055</v>
      </c>
      <c r="K215" s="23">
        <f t="shared" si="45"/>
        <v>509.56500000000005</v>
      </c>
      <c r="L215" s="35">
        <f t="shared" si="45"/>
        <v>0.138</v>
      </c>
      <c r="M215" s="35">
        <f>M178</f>
        <v>48.300000000000004</v>
      </c>
      <c r="N215" s="22">
        <f t="shared" si="45"/>
        <v>0</v>
      </c>
      <c r="O215" s="221">
        <f t="shared" si="45"/>
        <v>0</v>
      </c>
      <c r="P215" s="23">
        <f t="shared" si="45"/>
        <v>0</v>
      </c>
      <c r="Q215" s="22">
        <f t="shared" si="45"/>
        <v>0</v>
      </c>
      <c r="R215" s="23">
        <f t="shared" si="45"/>
        <v>0</v>
      </c>
      <c r="S215" s="22">
        <f t="shared" si="45"/>
        <v>34</v>
      </c>
      <c r="T215" s="22">
        <f t="shared" si="45"/>
        <v>0</v>
      </c>
      <c r="U215" s="23">
        <f t="shared" si="45"/>
        <v>0</v>
      </c>
      <c r="V215" s="22">
        <f t="shared" si="45"/>
        <v>625</v>
      </c>
      <c r="W215" s="22">
        <f t="shared" si="45"/>
        <v>0</v>
      </c>
      <c r="X215" s="23">
        <f t="shared" si="45"/>
        <v>0</v>
      </c>
      <c r="Y215" s="23">
        <f t="shared" si="45"/>
        <v>0</v>
      </c>
      <c r="Z215" s="35">
        <f t="shared" si="45"/>
        <v>0</v>
      </c>
      <c r="AA215" s="23">
        <f t="shared" si="45"/>
        <v>252.946</v>
      </c>
      <c r="AB215" s="35">
        <f t="shared" si="45"/>
        <v>0.016</v>
      </c>
      <c r="AC215" s="23">
        <f t="shared" si="45"/>
        <v>16.237</v>
      </c>
      <c r="AD215" s="35">
        <f t="shared" si="45"/>
        <v>0</v>
      </c>
      <c r="AE215" s="23">
        <f t="shared" si="45"/>
        <v>0</v>
      </c>
      <c r="AF215" s="35">
        <f t="shared" si="45"/>
        <v>0</v>
      </c>
      <c r="AG215" s="23">
        <f t="shared" si="45"/>
        <v>0</v>
      </c>
      <c r="AH215" s="23"/>
      <c r="AI215" s="22">
        <f t="shared" si="45"/>
        <v>28</v>
      </c>
      <c r="AJ215" s="22">
        <f t="shared" si="45"/>
        <v>174</v>
      </c>
      <c r="AK215" s="23">
        <f t="shared" si="45"/>
        <v>0</v>
      </c>
      <c r="AL215" s="23">
        <f t="shared" si="45"/>
        <v>0</v>
      </c>
      <c r="AM215" s="22">
        <f t="shared" si="45"/>
        <v>33</v>
      </c>
      <c r="AN215" s="22">
        <f t="shared" si="45"/>
        <v>0</v>
      </c>
      <c r="AO215" s="77"/>
      <c r="AP215" s="23"/>
      <c r="AQ215" s="23"/>
    </row>
    <row r="216" spans="1:43" ht="12.75">
      <c r="A216" s="22">
        <v>6</v>
      </c>
      <c r="B216" s="23" t="str">
        <f>B191</f>
        <v>итого МЖК</v>
      </c>
      <c r="C216" s="261"/>
      <c r="D216" s="261"/>
      <c r="E216" s="23">
        <f>E191</f>
        <v>692.4159999999999</v>
      </c>
      <c r="F216" s="23">
        <f aca="true" t="shared" si="46" ref="F216:AN216">F191</f>
        <v>692.4159999999999</v>
      </c>
      <c r="G216" s="23">
        <f t="shared" si="46"/>
        <v>0</v>
      </c>
      <c r="H216" s="35">
        <f t="shared" si="46"/>
        <v>0.028999999999999998</v>
      </c>
      <c r="I216" s="23">
        <f t="shared" si="46"/>
        <v>9.453999999999999</v>
      </c>
      <c r="J216" s="35">
        <f t="shared" si="46"/>
        <v>1.4140000000000001</v>
      </c>
      <c r="K216" s="23">
        <f t="shared" si="46"/>
        <v>682.962</v>
      </c>
      <c r="L216" s="35">
        <f t="shared" si="46"/>
        <v>0</v>
      </c>
      <c r="M216" s="35">
        <f>M191</f>
        <v>0</v>
      </c>
      <c r="N216" s="22">
        <f t="shared" si="46"/>
        <v>0</v>
      </c>
      <c r="O216" s="221">
        <f t="shared" si="46"/>
        <v>0</v>
      </c>
      <c r="P216" s="23">
        <f t="shared" si="46"/>
        <v>0</v>
      </c>
      <c r="Q216" s="22">
        <f t="shared" si="46"/>
        <v>0</v>
      </c>
      <c r="R216" s="23">
        <f t="shared" si="46"/>
        <v>0</v>
      </c>
      <c r="S216" s="22">
        <f t="shared" si="46"/>
        <v>0</v>
      </c>
      <c r="T216" s="22">
        <f t="shared" si="46"/>
        <v>0</v>
      </c>
      <c r="U216" s="23">
        <f t="shared" si="46"/>
        <v>0</v>
      </c>
      <c r="V216" s="22">
        <f t="shared" si="46"/>
        <v>20</v>
      </c>
      <c r="W216" s="22">
        <f t="shared" si="46"/>
        <v>0</v>
      </c>
      <c r="X216" s="23">
        <f t="shared" si="46"/>
        <v>0</v>
      </c>
      <c r="Y216" s="23">
        <f t="shared" si="46"/>
        <v>0</v>
      </c>
      <c r="Z216" s="35">
        <f t="shared" si="46"/>
        <v>0</v>
      </c>
      <c r="AA216" s="23">
        <f t="shared" si="46"/>
        <v>0</v>
      </c>
      <c r="AB216" s="35">
        <f t="shared" si="46"/>
        <v>0</v>
      </c>
      <c r="AC216" s="23">
        <f t="shared" si="46"/>
        <v>0</v>
      </c>
      <c r="AD216" s="35">
        <f t="shared" si="46"/>
        <v>0</v>
      </c>
      <c r="AE216" s="23">
        <f t="shared" si="46"/>
        <v>0</v>
      </c>
      <c r="AF216" s="35">
        <f t="shared" si="46"/>
        <v>0</v>
      </c>
      <c r="AG216" s="23">
        <f t="shared" si="46"/>
        <v>0</v>
      </c>
      <c r="AH216" s="23"/>
      <c r="AI216" s="22">
        <f t="shared" si="46"/>
        <v>2</v>
      </c>
      <c r="AJ216" s="22">
        <f t="shared" si="46"/>
        <v>44</v>
      </c>
      <c r="AK216" s="23">
        <f t="shared" si="46"/>
        <v>0</v>
      </c>
      <c r="AL216" s="23">
        <f t="shared" si="46"/>
        <v>0</v>
      </c>
      <c r="AM216" s="22">
        <f t="shared" si="46"/>
        <v>0</v>
      </c>
      <c r="AN216" s="22">
        <f t="shared" si="46"/>
        <v>0</v>
      </c>
      <c r="AO216" s="77"/>
      <c r="AP216" s="23"/>
      <c r="AQ216" s="23"/>
    </row>
    <row r="217" spans="1:43" ht="12.75">
      <c r="A217" s="22">
        <v>7</v>
      </c>
      <c r="B217" s="23" t="str">
        <f>B206</f>
        <v>итого КАО</v>
      </c>
      <c r="C217" s="261"/>
      <c r="D217" s="261"/>
      <c r="E217" s="23">
        <f aca="true" t="shared" si="47" ref="E217:AG219">E206</f>
        <v>589.6679999999999</v>
      </c>
      <c r="F217" s="23">
        <f t="shared" si="47"/>
        <v>589.6679999999999</v>
      </c>
      <c r="G217" s="23">
        <f t="shared" si="47"/>
        <v>0</v>
      </c>
      <c r="H217" s="35">
        <f t="shared" si="47"/>
        <v>0.43</v>
      </c>
      <c r="I217" s="23">
        <f t="shared" si="47"/>
        <v>253</v>
      </c>
      <c r="J217" s="35">
        <f t="shared" si="47"/>
        <v>0</v>
      </c>
      <c r="K217" s="23">
        <f t="shared" si="47"/>
        <v>0</v>
      </c>
      <c r="L217" s="35">
        <f t="shared" si="47"/>
        <v>0</v>
      </c>
      <c r="M217" s="35">
        <f t="shared" si="47"/>
        <v>0</v>
      </c>
      <c r="N217" s="22">
        <f t="shared" si="47"/>
        <v>0</v>
      </c>
      <c r="O217" s="221">
        <f t="shared" si="47"/>
        <v>0</v>
      </c>
      <c r="P217" s="23">
        <f t="shared" si="47"/>
        <v>0</v>
      </c>
      <c r="Q217" s="22">
        <f t="shared" si="47"/>
        <v>0</v>
      </c>
      <c r="R217" s="23">
        <f t="shared" si="47"/>
        <v>0</v>
      </c>
      <c r="S217" s="22">
        <f t="shared" si="47"/>
        <v>0</v>
      </c>
      <c r="T217" s="22">
        <f t="shared" si="47"/>
        <v>2</v>
      </c>
      <c r="U217" s="23">
        <f t="shared" si="47"/>
        <v>8.4</v>
      </c>
      <c r="V217" s="22">
        <f t="shared" si="47"/>
        <v>72</v>
      </c>
      <c r="W217" s="22">
        <f t="shared" si="47"/>
        <v>193</v>
      </c>
      <c r="X217" s="23">
        <f t="shared" si="47"/>
        <v>286.6</v>
      </c>
      <c r="Y217" s="23">
        <f t="shared" si="47"/>
        <v>0</v>
      </c>
      <c r="Z217" s="35">
        <f t="shared" si="47"/>
        <v>0</v>
      </c>
      <c r="AA217" s="23">
        <f t="shared" si="47"/>
        <v>35.256</v>
      </c>
      <c r="AB217" s="35">
        <f t="shared" si="47"/>
        <v>0</v>
      </c>
      <c r="AC217" s="23">
        <f t="shared" si="47"/>
        <v>0</v>
      </c>
      <c r="AD217" s="35">
        <f t="shared" si="47"/>
        <v>0</v>
      </c>
      <c r="AE217" s="23">
        <f t="shared" si="47"/>
        <v>0</v>
      </c>
      <c r="AF217" s="35">
        <f t="shared" si="47"/>
        <v>0.014</v>
      </c>
      <c r="AG217" s="23">
        <f t="shared" si="47"/>
        <v>6.412000000000001</v>
      </c>
      <c r="AH217" s="23"/>
      <c r="AI217" s="22">
        <f aca="true" t="shared" si="48" ref="AI217:AN219">AI206</f>
        <v>12</v>
      </c>
      <c r="AJ217" s="22">
        <f t="shared" si="48"/>
        <v>47</v>
      </c>
      <c r="AK217" s="23">
        <f t="shared" si="48"/>
        <v>0</v>
      </c>
      <c r="AL217" s="23">
        <f t="shared" si="48"/>
        <v>0</v>
      </c>
      <c r="AM217" s="22">
        <f t="shared" si="48"/>
        <v>0</v>
      </c>
      <c r="AN217" s="22">
        <f t="shared" si="48"/>
        <v>0</v>
      </c>
      <c r="AO217" s="77"/>
      <c r="AP217" s="23"/>
      <c r="AQ217" s="23"/>
    </row>
    <row r="218" spans="1:43" ht="12.75">
      <c r="A218" s="22">
        <v>8</v>
      </c>
      <c r="B218" s="23" t="str">
        <f>B207</f>
        <v>Мельникайте</v>
      </c>
      <c r="C218" s="261"/>
      <c r="D218" s="261"/>
      <c r="E218" s="23">
        <f t="shared" si="47"/>
        <v>0</v>
      </c>
      <c r="F218" s="23">
        <f t="shared" si="47"/>
        <v>0</v>
      </c>
      <c r="G218" s="23">
        <f t="shared" si="47"/>
        <v>0</v>
      </c>
      <c r="H218" s="35">
        <f t="shared" si="47"/>
        <v>0</v>
      </c>
      <c r="I218" s="23">
        <f t="shared" si="47"/>
        <v>0</v>
      </c>
      <c r="J218" s="35">
        <f t="shared" si="47"/>
        <v>0</v>
      </c>
      <c r="K218" s="23">
        <f t="shared" si="47"/>
        <v>0</v>
      </c>
      <c r="L218" s="35">
        <f t="shared" si="47"/>
        <v>0</v>
      </c>
      <c r="M218" s="35">
        <f t="shared" si="47"/>
        <v>0</v>
      </c>
      <c r="N218" s="22">
        <f t="shared" si="47"/>
        <v>0</v>
      </c>
      <c r="O218" s="221">
        <f t="shared" si="47"/>
        <v>0</v>
      </c>
      <c r="P218" s="23">
        <f t="shared" si="47"/>
        <v>0</v>
      </c>
      <c r="Q218" s="22">
        <f t="shared" si="47"/>
        <v>0</v>
      </c>
      <c r="R218" s="23">
        <f t="shared" si="47"/>
        <v>0</v>
      </c>
      <c r="S218" s="22">
        <f t="shared" si="47"/>
        <v>0</v>
      </c>
      <c r="T218" s="22">
        <f t="shared" si="47"/>
        <v>0</v>
      </c>
      <c r="U218" s="23">
        <f t="shared" si="47"/>
        <v>0</v>
      </c>
      <c r="V218" s="22">
        <f t="shared" si="47"/>
        <v>0</v>
      </c>
      <c r="W218" s="22">
        <f t="shared" si="47"/>
        <v>0</v>
      </c>
      <c r="X218" s="23">
        <f t="shared" si="47"/>
        <v>0</v>
      </c>
      <c r="Y218" s="23">
        <f t="shared" si="47"/>
        <v>0</v>
      </c>
      <c r="Z218" s="35">
        <f t="shared" si="47"/>
        <v>0</v>
      </c>
      <c r="AA218" s="23">
        <f t="shared" si="47"/>
        <v>0</v>
      </c>
      <c r="AB218" s="35">
        <f t="shared" si="47"/>
        <v>0</v>
      </c>
      <c r="AC218" s="23">
        <f t="shared" si="47"/>
        <v>0</v>
      </c>
      <c r="AD218" s="35">
        <f t="shared" si="47"/>
        <v>0</v>
      </c>
      <c r="AE218" s="23">
        <f t="shared" si="47"/>
        <v>0</v>
      </c>
      <c r="AF218" s="35">
        <f t="shared" si="47"/>
        <v>0</v>
      </c>
      <c r="AG218" s="23">
        <f t="shared" si="47"/>
        <v>0</v>
      </c>
      <c r="AH218" s="23"/>
      <c r="AI218" s="22">
        <f t="shared" si="48"/>
        <v>1</v>
      </c>
      <c r="AJ218" s="22">
        <f t="shared" si="48"/>
        <v>1</v>
      </c>
      <c r="AK218" s="23">
        <f t="shared" si="48"/>
        <v>0</v>
      </c>
      <c r="AL218" s="23">
        <f t="shared" si="48"/>
        <v>0</v>
      </c>
      <c r="AM218" s="22">
        <f t="shared" si="48"/>
        <v>0</v>
      </c>
      <c r="AN218" s="22">
        <f t="shared" si="48"/>
        <v>0</v>
      </c>
      <c r="AO218" s="77"/>
      <c r="AP218" s="23"/>
      <c r="AQ218" s="23"/>
    </row>
    <row r="219" spans="1:43" ht="12.75">
      <c r="A219" s="22">
        <v>9</v>
      </c>
      <c r="B219" s="23">
        <f>B208</f>
        <v>0</v>
      </c>
      <c r="C219" s="261"/>
      <c r="D219" s="261"/>
      <c r="E219" s="23">
        <f t="shared" si="47"/>
        <v>0</v>
      </c>
      <c r="F219" s="23">
        <f t="shared" si="47"/>
        <v>0</v>
      </c>
      <c r="G219" s="23">
        <f t="shared" si="47"/>
        <v>0</v>
      </c>
      <c r="H219" s="35">
        <f t="shared" si="47"/>
        <v>0</v>
      </c>
      <c r="I219" s="23">
        <f t="shared" si="47"/>
        <v>0</v>
      </c>
      <c r="J219" s="35">
        <f t="shared" si="47"/>
        <v>0</v>
      </c>
      <c r="K219" s="23">
        <f t="shared" si="47"/>
        <v>0</v>
      </c>
      <c r="L219" s="35">
        <f t="shared" si="47"/>
        <v>0</v>
      </c>
      <c r="M219" s="35">
        <f t="shared" si="47"/>
        <v>0</v>
      </c>
      <c r="N219" s="22">
        <f t="shared" si="47"/>
        <v>0</v>
      </c>
      <c r="O219" s="221">
        <f t="shared" si="47"/>
        <v>0</v>
      </c>
      <c r="P219" s="23">
        <f t="shared" si="47"/>
        <v>0</v>
      </c>
      <c r="Q219" s="22">
        <f t="shared" si="47"/>
        <v>0</v>
      </c>
      <c r="R219" s="23">
        <f t="shared" si="47"/>
        <v>0</v>
      </c>
      <c r="S219" s="22">
        <f t="shared" si="47"/>
        <v>0</v>
      </c>
      <c r="T219" s="22">
        <f t="shared" si="47"/>
        <v>0</v>
      </c>
      <c r="U219" s="23">
        <f t="shared" si="47"/>
        <v>0</v>
      </c>
      <c r="V219" s="22">
        <f t="shared" si="47"/>
        <v>0</v>
      </c>
      <c r="W219" s="22">
        <f t="shared" si="47"/>
        <v>0</v>
      </c>
      <c r="X219" s="23">
        <f t="shared" si="47"/>
        <v>0</v>
      </c>
      <c r="Y219" s="23">
        <f t="shared" si="47"/>
        <v>0</v>
      </c>
      <c r="Z219" s="35">
        <f t="shared" si="47"/>
        <v>0</v>
      </c>
      <c r="AA219" s="23">
        <f t="shared" si="47"/>
        <v>0</v>
      </c>
      <c r="AB219" s="35">
        <f t="shared" si="47"/>
        <v>0</v>
      </c>
      <c r="AC219" s="23">
        <f t="shared" si="47"/>
        <v>0</v>
      </c>
      <c r="AD219" s="35">
        <f t="shared" si="47"/>
        <v>0</v>
      </c>
      <c r="AE219" s="23">
        <f t="shared" si="47"/>
        <v>0</v>
      </c>
      <c r="AF219" s="35">
        <f t="shared" si="47"/>
        <v>0</v>
      </c>
      <c r="AG219" s="23">
        <f t="shared" si="47"/>
        <v>0</v>
      </c>
      <c r="AH219" s="23"/>
      <c r="AI219" s="22">
        <f t="shared" si="48"/>
        <v>0</v>
      </c>
      <c r="AJ219" s="22">
        <f t="shared" si="48"/>
        <v>0</v>
      </c>
      <c r="AK219" s="23">
        <f t="shared" si="48"/>
        <v>0</v>
      </c>
      <c r="AL219" s="23">
        <f t="shared" si="48"/>
        <v>0</v>
      </c>
      <c r="AM219" s="22">
        <f t="shared" si="48"/>
        <v>0</v>
      </c>
      <c r="AN219" s="22">
        <f t="shared" si="48"/>
        <v>0</v>
      </c>
      <c r="AO219" s="77"/>
      <c r="AP219" s="23"/>
      <c r="AQ219" s="23"/>
    </row>
    <row r="220" spans="1:43" ht="12" customHeight="1">
      <c r="A220" s="36"/>
      <c r="B220" s="37"/>
      <c r="C220" s="36"/>
      <c r="D220" s="36"/>
      <c r="E220" s="38"/>
      <c r="F220" s="38"/>
      <c r="G220" s="38"/>
      <c r="H220" s="39"/>
      <c r="I220" s="40"/>
      <c r="J220" s="39"/>
      <c r="K220" s="40"/>
      <c r="L220" s="39"/>
      <c r="M220" s="39"/>
      <c r="N220" s="39"/>
      <c r="O220" s="246"/>
      <c r="P220" s="6"/>
      <c r="Q220" s="36"/>
      <c r="R220" s="40"/>
      <c r="S220" s="36"/>
      <c r="T220" s="36"/>
      <c r="U220" s="6"/>
      <c r="V220" s="36"/>
      <c r="W220" s="39"/>
      <c r="X220" s="38"/>
      <c r="Y220" s="39"/>
      <c r="Z220" s="38"/>
      <c r="AA220" s="39"/>
      <c r="AB220" s="38"/>
      <c r="AC220" s="39"/>
      <c r="AD220" s="38"/>
      <c r="AE220" s="38"/>
      <c r="AF220" s="36"/>
      <c r="AG220" s="36"/>
      <c r="AH220" s="39"/>
      <c r="AI220" s="36"/>
      <c r="AJ220" s="36"/>
      <c r="AK220" s="36"/>
      <c r="AL220"/>
      <c r="AM220"/>
      <c r="AN220"/>
      <c r="AO220"/>
      <c r="AP220"/>
      <c r="AQ220"/>
    </row>
    <row r="221" spans="2:43" ht="12.75">
      <c r="B221" s="1" t="s">
        <v>95</v>
      </c>
      <c r="E221" s="2"/>
      <c r="F221" s="2"/>
      <c r="G221" s="2"/>
      <c r="H221" s="3"/>
      <c r="I221" s="2"/>
      <c r="J221" s="3"/>
      <c r="K221" s="2"/>
      <c r="L221" s="3" t="s">
        <v>96</v>
      </c>
      <c r="M221" s="3"/>
      <c r="N221" s="3"/>
      <c r="O221" s="247"/>
      <c r="P221" s="2"/>
      <c r="Q221" s="1"/>
      <c r="R221" s="1"/>
      <c r="S221" s="1"/>
      <c r="T221" s="1"/>
      <c r="U221" s="2"/>
      <c r="V221" s="1"/>
      <c r="W221" s="3"/>
      <c r="X221" s="2"/>
      <c r="Y221" s="3"/>
      <c r="Z221" s="2"/>
      <c r="AA221" s="3"/>
      <c r="AB221" s="2"/>
      <c r="AC221" s="3"/>
      <c r="AD221" s="2"/>
      <c r="AE221" s="2"/>
      <c r="AF221" s="1"/>
      <c r="AG221" s="1"/>
      <c r="AH221" s="3"/>
      <c r="AK221" s="1"/>
      <c r="AL221"/>
      <c r="AM221"/>
      <c r="AN221"/>
      <c r="AO221"/>
      <c r="AP221"/>
      <c r="AQ221"/>
    </row>
  </sheetData>
  <sheetProtection/>
  <mergeCells count="32">
    <mergeCell ref="C217:D217"/>
    <mergeCell ref="C218:D218"/>
    <mergeCell ref="C219:D219"/>
    <mergeCell ref="C31:D31"/>
    <mergeCell ref="C52:D52"/>
    <mergeCell ref="C93:D93"/>
    <mergeCell ref="C116:D116"/>
    <mergeCell ref="C178:D178"/>
    <mergeCell ref="C191:D191"/>
    <mergeCell ref="C209:D209"/>
    <mergeCell ref="AQ4:AQ6"/>
    <mergeCell ref="H5:Y5"/>
    <mergeCell ref="Z5:AK5"/>
    <mergeCell ref="AL5:AL6"/>
    <mergeCell ref="F6:F7"/>
    <mergeCell ref="G6:G7"/>
    <mergeCell ref="V6:V7"/>
    <mergeCell ref="E4:G5"/>
    <mergeCell ref="H4:AL4"/>
    <mergeCell ref="AM4:AM6"/>
    <mergeCell ref="C215:D215"/>
    <mergeCell ref="C216:D216"/>
    <mergeCell ref="C211:D211"/>
    <mergeCell ref="C212:D212"/>
    <mergeCell ref="C213:D213"/>
    <mergeCell ref="C206:D206"/>
    <mergeCell ref="A4:A6"/>
    <mergeCell ref="B4:D5"/>
    <mergeCell ref="AN4:AN6"/>
    <mergeCell ref="AO4:AO6"/>
    <mergeCell ref="AP4:AP6"/>
    <mergeCell ref="C214:D214"/>
  </mergeCells>
  <printOptions/>
  <pageMargins left="0.7874015748031497" right="0.3937007874015748" top="0.3937007874015748" bottom="0.3937007874015748" header="0.5118110236220472" footer="0.11811023622047245"/>
  <pageSetup horizontalDpi="600" verticalDpi="600" orientation="landscape" paperSize="9" r:id="rId4"/>
  <headerFooter alignWithMargins="0">
    <oddFooter>&amp;CСтраница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46"/>
  <sheetViews>
    <sheetView tabSelected="1" zoomScalePageLayoutView="0" workbookViewId="0" topLeftCell="A1">
      <pane xSplit="7" ySplit="1" topLeftCell="H176" activePane="bottomRight" state="frozen"/>
      <selection pane="topLeft" activeCell="A1" sqref="A1"/>
      <selection pane="topRight" activeCell="H1" sqref="H1"/>
      <selection pane="bottomLeft" activeCell="A9" sqref="A9"/>
      <selection pane="bottomRight" activeCell="D231" sqref="D231"/>
    </sheetView>
  </sheetViews>
  <sheetFormatPr defaultColWidth="9.00390625" defaultRowHeight="12.75"/>
  <cols>
    <col min="1" max="1" width="3.625" style="289" customWidth="1"/>
    <col min="2" max="2" width="10.25390625" style="289" customWidth="1"/>
    <col min="3" max="3" width="4.375" style="289" customWidth="1"/>
    <col min="4" max="4" width="3.125" style="289" customWidth="1"/>
    <col min="5" max="6" width="5.75390625" style="290" customWidth="1"/>
    <col min="7" max="7" width="6.625" style="290" hidden="1" customWidth="1"/>
    <col min="8" max="8" width="5.75390625" style="291" customWidth="1"/>
    <col min="9" max="9" width="5.75390625" style="290" hidden="1" customWidth="1"/>
    <col min="10" max="10" width="5.75390625" style="290" customWidth="1"/>
    <col min="11" max="11" width="5.75390625" style="290" hidden="1" customWidth="1"/>
    <col min="12" max="12" width="5.75390625" style="291" customWidth="1"/>
    <col min="13" max="13" width="5.75390625" style="290" hidden="1" customWidth="1"/>
    <col min="14" max="14" width="5.75390625" style="292" customWidth="1"/>
    <col min="15" max="15" width="5.75390625" style="290" hidden="1" customWidth="1"/>
    <col min="16" max="16" width="4.75390625" style="291" customWidth="1"/>
    <col min="17" max="17" width="5.75390625" style="291" hidden="1" customWidth="1"/>
    <col min="18" max="18" width="4.75390625" style="291" customWidth="1"/>
    <col min="19" max="19" width="5.75390625" style="291" hidden="1" customWidth="1"/>
    <col min="20" max="20" width="6.625" style="291" hidden="1" customWidth="1"/>
    <col min="21" max="21" width="5.75390625" style="292" customWidth="1"/>
    <col min="22" max="22" width="5.75390625" style="290" hidden="1" customWidth="1"/>
    <col min="23" max="23" width="5.75390625" style="290" customWidth="1"/>
    <col min="24" max="24" width="5.75390625" style="290" hidden="1" customWidth="1"/>
    <col min="25" max="25" width="4.75390625" style="293" hidden="1" customWidth="1"/>
    <col min="26" max="26" width="5.75390625" style="294" hidden="1" customWidth="1"/>
    <col min="27" max="27" width="5.75390625" style="294" customWidth="1"/>
    <col min="28" max="28" width="5.75390625" style="293" customWidth="1"/>
    <col min="29" max="29" width="5.75390625" style="294" customWidth="1"/>
    <col min="30" max="30" width="5.75390625" style="294" hidden="1" customWidth="1"/>
    <col min="31" max="31" width="5.75390625" style="293" customWidth="1"/>
    <col min="32" max="32" width="5.75390625" style="294" hidden="1" customWidth="1"/>
    <col min="33" max="33" width="5.75390625" style="294" customWidth="1"/>
    <col min="34" max="34" width="5.75390625" style="293" customWidth="1"/>
    <col min="35" max="35" width="5.75390625" style="294" customWidth="1"/>
    <col min="36" max="36" width="5.75390625" style="290" hidden="1" customWidth="1"/>
    <col min="37" max="37" width="5.75390625" style="293" customWidth="1"/>
    <col min="38" max="38" width="5.75390625" style="290" hidden="1" customWidth="1"/>
    <col min="39" max="39" width="6.625" style="294" hidden="1" customWidth="1"/>
    <col min="40" max="40" width="5.75390625" style="291" customWidth="1"/>
    <col min="41" max="41" width="5.75390625" style="290" hidden="1" customWidth="1"/>
    <col min="42" max="42" width="5.75390625" style="290" customWidth="1"/>
    <col min="43" max="43" width="5.75390625" style="290" hidden="1" customWidth="1"/>
    <col min="44" max="44" width="5.75390625" style="291" customWidth="1"/>
    <col min="45" max="45" width="5.75390625" style="290" hidden="1" customWidth="1"/>
    <col min="46" max="46" width="5.75390625" style="290" customWidth="1"/>
    <col min="47" max="47" width="5.75390625" style="290" hidden="1" customWidth="1"/>
    <col min="48" max="48" width="5.75390625" style="291" customWidth="1"/>
    <col min="49" max="49" width="5.75390625" style="290" hidden="1" customWidth="1"/>
    <col min="50" max="50" width="5.75390625" style="290" customWidth="1"/>
    <col min="51" max="51" width="5.75390625" style="290" hidden="1" customWidth="1"/>
    <col min="52" max="52" width="5.75390625" style="291" customWidth="1"/>
    <col min="53" max="53" width="5.75390625" style="295" hidden="1" customWidth="1"/>
    <col min="54" max="54" width="5.75390625" style="295" customWidth="1"/>
    <col min="55" max="56" width="5.75390625" style="295" hidden="1" customWidth="1"/>
    <col min="57" max="58" width="4.75390625" style="296" customWidth="1"/>
    <col min="59" max="60" width="4.75390625" style="293" customWidth="1"/>
    <col min="61" max="62" width="6.625" style="293" hidden="1" customWidth="1"/>
    <col min="63" max="63" width="4.75390625" style="294" customWidth="1"/>
    <col min="64" max="65" width="4.75390625" style="293" customWidth="1"/>
    <col min="66" max="66" width="4.75390625" style="296" customWidth="1"/>
    <col min="67" max="16384" width="9.125" style="297" customWidth="1"/>
  </cols>
  <sheetData>
    <row r="1" ht="12">
      <c r="A1" s="289" t="s">
        <v>165</v>
      </c>
    </row>
    <row r="2" ht="12">
      <c r="A2" s="289" t="s">
        <v>166</v>
      </c>
    </row>
    <row r="3" ht="12">
      <c r="A3" s="289" t="s">
        <v>202</v>
      </c>
    </row>
    <row r="4" ht="4.5" customHeight="1"/>
    <row r="5" spans="1:66" ht="12">
      <c r="A5" s="298"/>
      <c r="B5" s="299" t="s">
        <v>167</v>
      </c>
      <c r="C5" s="299"/>
      <c r="E5" s="300"/>
      <c r="F5" s="300"/>
      <c r="G5" s="300"/>
      <c r="N5" s="301"/>
      <c r="O5" s="300"/>
      <c r="R5" s="302"/>
      <c r="S5" s="302"/>
      <c r="T5" s="302"/>
      <c r="W5" s="300"/>
      <c r="X5" s="300"/>
      <c r="Y5" s="303"/>
      <c r="Z5" s="304"/>
      <c r="AB5" s="303"/>
      <c r="AE5" s="303"/>
      <c r="AF5" s="304"/>
      <c r="AH5" s="303"/>
      <c r="AK5" s="303"/>
      <c r="AL5" s="300"/>
      <c r="AM5" s="304"/>
      <c r="AP5" s="300"/>
      <c r="AQ5" s="300"/>
      <c r="AT5" s="300"/>
      <c r="AU5" s="300"/>
      <c r="AX5" s="300"/>
      <c r="AY5" s="300"/>
      <c r="BB5" s="305"/>
      <c r="BC5" s="305"/>
      <c r="BD5" s="305"/>
      <c r="BE5" s="306"/>
      <c r="BF5" s="306"/>
      <c r="BG5" s="303"/>
      <c r="BH5" s="303"/>
      <c r="BI5" s="303"/>
      <c r="BJ5" s="303"/>
      <c r="BL5" s="303"/>
      <c r="BM5" s="303"/>
      <c r="BN5" s="306"/>
    </row>
    <row r="6" spans="1:66" ht="12.75" thickBot="1">
      <c r="A6" s="298"/>
      <c r="B6" s="307" t="s">
        <v>168</v>
      </c>
      <c r="C6" s="308">
        <v>41212</v>
      </c>
      <c r="D6" s="308"/>
      <c r="E6" s="309" t="s">
        <v>169</v>
      </c>
      <c r="F6" s="300"/>
      <c r="G6" s="300"/>
      <c r="L6" s="302"/>
      <c r="M6" s="300"/>
      <c r="N6" s="301"/>
      <c r="O6" s="300"/>
      <c r="P6" s="302"/>
      <c r="Q6" s="302"/>
      <c r="R6" s="302"/>
      <c r="S6" s="302"/>
      <c r="T6" s="302"/>
      <c r="U6" s="301"/>
      <c r="V6" s="300"/>
      <c r="W6" s="300"/>
      <c r="X6" s="300"/>
      <c r="Y6" s="303"/>
      <c r="Z6" s="304"/>
      <c r="AA6" s="304"/>
      <c r="AB6" s="303"/>
      <c r="AC6" s="304"/>
      <c r="AD6" s="304"/>
      <c r="AE6" s="303"/>
      <c r="AF6" s="304"/>
      <c r="AG6" s="304"/>
      <c r="AH6" s="303"/>
      <c r="AI6" s="304"/>
      <c r="AJ6" s="300"/>
      <c r="AK6" s="303"/>
      <c r="AL6" s="300"/>
      <c r="AM6" s="304"/>
      <c r="AN6" s="302"/>
      <c r="AO6" s="300"/>
      <c r="AP6" s="300"/>
      <c r="AQ6" s="300"/>
      <c r="AR6" s="302"/>
      <c r="AS6" s="300"/>
      <c r="AT6" s="300"/>
      <c r="AU6" s="300"/>
      <c r="AV6" s="302"/>
      <c r="AW6" s="300"/>
      <c r="AX6" s="300"/>
      <c r="AY6" s="300"/>
      <c r="AZ6" s="302"/>
      <c r="BA6" s="305"/>
      <c r="BB6" s="305"/>
      <c r="BC6" s="305"/>
      <c r="BD6" s="305"/>
      <c r="BE6" s="306"/>
      <c r="BF6" s="306"/>
      <c r="BG6" s="303"/>
      <c r="BH6" s="303"/>
      <c r="BI6" s="303"/>
      <c r="BJ6" s="303"/>
      <c r="BK6" s="304"/>
      <c r="BL6" s="303"/>
      <c r="BM6" s="303"/>
      <c r="BN6" s="306"/>
    </row>
    <row r="7" spans="1:66" ht="3" customHeight="1" thickBot="1">
      <c r="A7" s="298"/>
      <c r="B7" s="298"/>
      <c r="C7" s="298"/>
      <c r="D7" s="298"/>
      <c r="E7" s="300"/>
      <c r="F7" s="300"/>
      <c r="G7" s="444"/>
      <c r="H7" s="445"/>
      <c r="I7" s="444"/>
      <c r="J7" s="444"/>
      <c r="K7" s="444"/>
      <c r="L7" s="445"/>
      <c r="M7" s="444"/>
      <c r="N7" s="446"/>
      <c r="O7" s="444"/>
      <c r="P7" s="445"/>
      <c r="Q7" s="445"/>
      <c r="R7" s="445"/>
      <c r="S7" s="445"/>
      <c r="T7" s="445"/>
      <c r="U7" s="446"/>
      <c r="V7" s="444"/>
      <c r="W7" s="444"/>
      <c r="X7" s="444"/>
      <c r="Y7" s="447"/>
      <c r="Z7" s="448"/>
      <c r="AA7" s="448"/>
      <c r="AB7" s="447"/>
      <c r="AC7" s="448"/>
      <c r="AD7" s="448"/>
      <c r="AE7" s="447"/>
      <c r="AF7" s="448"/>
      <c r="AG7" s="448"/>
      <c r="AH7" s="447"/>
      <c r="AI7" s="448"/>
      <c r="AJ7" s="444"/>
      <c r="AK7" s="447"/>
      <c r="AL7" s="444"/>
      <c r="AM7" s="448"/>
      <c r="AN7" s="445"/>
      <c r="AO7" s="444"/>
      <c r="AP7" s="444"/>
      <c r="AQ7" s="444"/>
      <c r="AR7" s="445"/>
      <c r="AS7" s="444"/>
      <c r="AT7" s="444"/>
      <c r="AU7" s="444"/>
      <c r="AV7" s="445"/>
      <c r="AW7" s="444"/>
      <c r="AX7" s="444"/>
      <c r="AY7" s="444"/>
      <c r="AZ7" s="445"/>
      <c r="BA7" s="449"/>
      <c r="BB7" s="449"/>
      <c r="BC7" s="449"/>
      <c r="BD7" s="449"/>
      <c r="BE7" s="450"/>
      <c r="BF7" s="450"/>
      <c r="BG7" s="447"/>
      <c r="BH7" s="447"/>
      <c r="BI7" s="447"/>
      <c r="BJ7" s="447"/>
      <c r="BK7" s="448"/>
      <c r="BL7" s="447"/>
      <c r="BM7" s="447"/>
      <c r="BN7" s="450"/>
    </row>
    <row r="8" spans="1:66" ht="12.75" customHeight="1">
      <c r="A8" s="413" t="s">
        <v>0</v>
      </c>
      <c r="B8" s="414" t="s">
        <v>1</v>
      </c>
      <c r="C8" s="415"/>
      <c r="D8" s="416"/>
      <c r="E8" s="417" t="s">
        <v>2</v>
      </c>
      <c r="F8" s="418"/>
      <c r="G8" s="419"/>
      <c r="H8" s="420" t="s">
        <v>3</v>
      </c>
      <c r="I8" s="421"/>
      <c r="J8" s="421"/>
      <c r="K8" s="421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3"/>
      <c r="BK8" s="424" t="s">
        <v>4</v>
      </c>
      <c r="BL8" s="425"/>
      <c r="BM8" s="426" t="s">
        <v>5</v>
      </c>
      <c r="BN8" s="427"/>
    </row>
    <row r="9" spans="1:66" ht="12">
      <c r="A9" s="428"/>
      <c r="B9" s="310"/>
      <c r="C9" s="311"/>
      <c r="D9" s="312"/>
      <c r="E9" s="313"/>
      <c r="F9" s="314"/>
      <c r="G9" s="315"/>
      <c r="H9" s="390" t="s">
        <v>9</v>
      </c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2"/>
      <c r="AN9" s="316" t="s">
        <v>10</v>
      </c>
      <c r="AO9" s="317"/>
      <c r="AP9" s="317"/>
      <c r="AQ9" s="317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9" t="s">
        <v>97</v>
      </c>
      <c r="BK9" s="320"/>
      <c r="BL9" s="321"/>
      <c r="BM9" s="322"/>
      <c r="BN9" s="429"/>
    </row>
    <row r="10" spans="1:66" ht="75" customHeight="1">
      <c r="A10" s="428"/>
      <c r="B10" s="323" t="s">
        <v>11</v>
      </c>
      <c r="C10" s="323" t="s">
        <v>12</v>
      </c>
      <c r="D10" s="323" t="s">
        <v>13</v>
      </c>
      <c r="E10" s="324" t="s">
        <v>170</v>
      </c>
      <c r="F10" s="324" t="s">
        <v>171</v>
      </c>
      <c r="G10" s="324" t="s">
        <v>16</v>
      </c>
      <c r="H10" s="325" t="s">
        <v>98</v>
      </c>
      <c r="I10" s="326"/>
      <c r="J10" s="326"/>
      <c r="K10" s="326"/>
      <c r="L10" s="325" t="s">
        <v>17</v>
      </c>
      <c r="M10" s="326"/>
      <c r="N10" s="327"/>
      <c r="O10" s="326"/>
      <c r="P10" s="325" t="s">
        <v>99</v>
      </c>
      <c r="Q10" s="326"/>
      <c r="R10" s="326"/>
      <c r="S10" s="326"/>
      <c r="T10" s="328" t="s">
        <v>18</v>
      </c>
      <c r="U10" s="329" t="s">
        <v>138</v>
      </c>
      <c r="V10" s="326"/>
      <c r="W10" s="326"/>
      <c r="X10" s="326"/>
      <c r="Y10" s="330" t="s">
        <v>19</v>
      </c>
      <c r="Z10" s="331"/>
      <c r="AA10" s="332" t="s">
        <v>86</v>
      </c>
      <c r="AB10" s="333"/>
      <c r="AC10" s="248" t="s">
        <v>87</v>
      </c>
      <c r="AD10" s="326"/>
      <c r="AE10" s="326"/>
      <c r="AF10" s="334"/>
      <c r="AG10" s="248" t="s">
        <v>88</v>
      </c>
      <c r="AH10" s="333"/>
      <c r="AI10" s="248" t="s">
        <v>139</v>
      </c>
      <c r="AJ10" s="326"/>
      <c r="AK10" s="326"/>
      <c r="AL10" s="326"/>
      <c r="AM10" s="332" t="s">
        <v>20</v>
      </c>
      <c r="AN10" s="325" t="s">
        <v>21</v>
      </c>
      <c r="AO10" s="326"/>
      <c r="AP10" s="326"/>
      <c r="AQ10" s="326"/>
      <c r="AR10" s="325" t="s">
        <v>22</v>
      </c>
      <c r="AS10" s="326"/>
      <c r="AT10" s="326"/>
      <c r="AU10" s="326"/>
      <c r="AV10" s="325" t="s">
        <v>23</v>
      </c>
      <c r="AW10" s="326"/>
      <c r="AX10" s="326"/>
      <c r="AY10" s="326"/>
      <c r="AZ10" s="325" t="s">
        <v>172</v>
      </c>
      <c r="BA10" s="326"/>
      <c r="BB10" s="326"/>
      <c r="BC10" s="326"/>
      <c r="BD10" s="335" t="s">
        <v>24</v>
      </c>
      <c r="BE10" s="330" t="s">
        <v>25</v>
      </c>
      <c r="BF10" s="333"/>
      <c r="BG10" s="330" t="s">
        <v>26</v>
      </c>
      <c r="BH10" s="333"/>
      <c r="BI10" s="336" t="s">
        <v>27</v>
      </c>
      <c r="BJ10" s="337"/>
      <c r="BK10" s="320"/>
      <c r="BL10" s="338"/>
      <c r="BM10" s="339"/>
      <c r="BN10" s="430"/>
    </row>
    <row r="11" spans="1:66" ht="11.25" customHeight="1" thickBot="1">
      <c r="A11" s="431"/>
      <c r="B11" s="432"/>
      <c r="C11" s="432"/>
      <c r="D11" s="432"/>
      <c r="E11" s="433"/>
      <c r="F11" s="433"/>
      <c r="G11" s="433"/>
      <c r="H11" s="434" t="s">
        <v>173</v>
      </c>
      <c r="I11" s="435" t="s">
        <v>29</v>
      </c>
      <c r="J11" s="435" t="s">
        <v>174</v>
      </c>
      <c r="K11" s="435" t="s">
        <v>29</v>
      </c>
      <c r="L11" s="434" t="s">
        <v>173</v>
      </c>
      <c r="M11" s="435" t="s">
        <v>29</v>
      </c>
      <c r="N11" s="436" t="s">
        <v>174</v>
      </c>
      <c r="O11" s="435" t="s">
        <v>29</v>
      </c>
      <c r="P11" s="437" t="s">
        <v>173</v>
      </c>
      <c r="Q11" s="435" t="s">
        <v>29</v>
      </c>
      <c r="R11" s="435" t="s">
        <v>174</v>
      </c>
      <c r="S11" s="435" t="s">
        <v>29</v>
      </c>
      <c r="T11" s="438"/>
      <c r="U11" s="437" t="s">
        <v>173</v>
      </c>
      <c r="V11" s="435" t="s">
        <v>29</v>
      </c>
      <c r="W11" s="435" t="s">
        <v>174</v>
      </c>
      <c r="X11" s="435" t="s">
        <v>29</v>
      </c>
      <c r="Y11" s="437" t="s">
        <v>31</v>
      </c>
      <c r="Z11" s="435" t="s">
        <v>29</v>
      </c>
      <c r="AA11" s="437" t="s">
        <v>173</v>
      </c>
      <c r="AB11" s="437" t="s">
        <v>174</v>
      </c>
      <c r="AC11" s="437" t="s">
        <v>173</v>
      </c>
      <c r="AD11" s="435" t="s">
        <v>29</v>
      </c>
      <c r="AE11" s="437" t="s">
        <v>174</v>
      </c>
      <c r="AF11" s="435" t="s">
        <v>29</v>
      </c>
      <c r="AG11" s="437" t="s">
        <v>173</v>
      </c>
      <c r="AH11" s="437" t="s">
        <v>174</v>
      </c>
      <c r="AI11" s="437" t="s">
        <v>173</v>
      </c>
      <c r="AJ11" s="435" t="s">
        <v>29</v>
      </c>
      <c r="AK11" s="437" t="s">
        <v>174</v>
      </c>
      <c r="AL11" s="435" t="s">
        <v>29</v>
      </c>
      <c r="AM11" s="432"/>
      <c r="AN11" s="437" t="s">
        <v>173</v>
      </c>
      <c r="AO11" s="435" t="s">
        <v>29</v>
      </c>
      <c r="AP11" s="435" t="s">
        <v>174</v>
      </c>
      <c r="AQ11" s="435" t="s">
        <v>29</v>
      </c>
      <c r="AR11" s="437" t="s">
        <v>173</v>
      </c>
      <c r="AS11" s="435" t="s">
        <v>29</v>
      </c>
      <c r="AT11" s="435" t="s">
        <v>174</v>
      </c>
      <c r="AU11" s="435" t="s">
        <v>29</v>
      </c>
      <c r="AV11" s="437" t="s">
        <v>173</v>
      </c>
      <c r="AW11" s="435" t="s">
        <v>29</v>
      </c>
      <c r="AX11" s="435" t="s">
        <v>174</v>
      </c>
      <c r="AY11" s="435" t="s">
        <v>29</v>
      </c>
      <c r="AZ11" s="437" t="s">
        <v>173</v>
      </c>
      <c r="BA11" s="435" t="s">
        <v>29</v>
      </c>
      <c r="BB11" s="435" t="s">
        <v>174</v>
      </c>
      <c r="BC11" s="439" t="s">
        <v>29</v>
      </c>
      <c r="BD11" s="440"/>
      <c r="BE11" s="437" t="s">
        <v>173</v>
      </c>
      <c r="BF11" s="437" t="s">
        <v>174</v>
      </c>
      <c r="BG11" s="437" t="s">
        <v>173</v>
      </c>
      <c r="BH11" s="437" t="s">
        <v>174</v>
      </c>
      <c r="BI11" s="441"/>
      <c r="BJ11" s="442"/>
      <c r="BK11" s="437" t="s">
        <v>173</v>
      </c>
      <c r="BL11" s="437" t="s">
        <v>174</v>
      </c>
      <c r="BM11" s="437" t="s">
        <v>173</v>
      </c>
      <c r="BN11" s="443" t="s">
        <v>174</v>
      </c>
    </row>
    <row r="12" spans="1:66" ht="12">
      <c r="A12" s="451">
        <v>1</v>
      </c>
      <c r="B12" s="452" t="s">
        <v>44</v>
      </c>
      <c r="C12" s="451">
        <v>86</v>
      </c>
      <c r="D12" s="451"/>
      <c r="E12" s="405">
        <f>I12+M12+Q12+V12+Z12+AD12+AJ12+AO12+AS12+AW12+BA12</f>
        <v>3.6</v>
      </c>
      <c r="F12" s="405">
        <f>K12+O12+S12+X12+AF12+AL12+AQ12+AU12+AY12+BC12</f>
        <v>3.672</v>
      </c>
      <c r="G12" s="405"/>
      <c r="H12" s="407"/>
      <c r="I12" s="405"/>
      <c r="J12" s="405"/>
      <c r="K12" s="405"/>
      <c r="L12" s="407">
        <v>0.01</v>
      </c>
      <c r="M12" s="406">
        <f>L12*360</f>
        <v>3.6</v>
      </c>
      <c r="N12" s="407">
        <v>0.0102</v>
      </c>
      <c r="O12" s="405">
        <f>N12*360</f>
        <v>3.672</v>
      </c>
      <c r="P12" s="406"/>
      <c r="Q12" s="406"/>
      <c r="R12" s="406"/>
      <c r="S12" s="406"/>
      <c r="T12" s="406"/>
      <c r="U12" s="407"/>
      <c r="V12" s="405"/>
      <c r="W12" s="405"/>
      <c r="X12" s="405"/>
      <c r="Y12" s="409"/>
      <c r="Z12" s="451"/>
      <c r="AA12" s="451"/>
      <c r="AB12" s="409"/>
      <c r="AC12" s="451"/>
      <c r="AD12" s="451"/>
      <c r="AE12" s="409"/>
      <c r="AF12" s="451"/>
      <c r="AG12" s="451"/>
      <c r="AH12" s="409"/>
      <c r="AI12" s="451"/>
      <c r="AJ12" s="405"/>
      <c r="AK12" s="409"/>
      <c r="AL12" s="405"/>
      <c r="AM12" s="451"/>
      <c r="AN12" s="406"/>
      <c r="AO12" s="405"/>
      <c r="AP12" s="405"/>
      <c r="AQ12" s="405"/>
      <c r="AR12" s="406"/>
      <c r="AS12" s="405"/>
      <c r="AT12" s="405"/>
      <c r="AU12" s="405"/>
      <c r="AV12" s="406"/>
      <c r="AW12" s="405"/>
      <c r="AX12" s="405"/>
      <c r="AY12" s="405"/>
      <c r="AZ12" s="406"/>
      <c r="BA12" s="453"/>
      <c r="BB12" s="453"/>
      <c r="BC12" s="453"/>
      <c r="BD12" s="453"/>
      <c r="BE12" s="409"/>
      <c r="BF12" s="409"/>
      <c r="BG12" s="409">
        <v>6</v>
      </c>
      <c r="BH12" s="409">
        <v>6</v>
      </c>
      <c r="BI12" s="409"/>
      <c r="BJ12" s="409"/>
      <c r="BK12" s="451"/>
      <c r="BL12" s="409">
        <v>1</v>
      </c>
      <c r="BM12" s="409">
        <v>1</v>
      </c>
      <c r="BN12" s="412">
        <v>1</v>
      </c>
    </row>
    <row r="13" spans="1:66" ht="12">
      <c r="A13" s="340">
        <f aca="true" t="shared" si="0" ref="A13:A33">A12+1</f>
        <v>2</v>
      </c>
      <c r="B13" s="341" t="s">
        <v>44</v>
      </c>
      <c r="C13" s="340">
        <v>94</v>
      </c>
      <c r="D13" s="340"/>
      <c r="E13" s="342">
        <f aca="true" t="shared" si="1" ref="E13:E33">I13+M13+Q13+V13+Z13+AD13+AJ13+AO13+AS13+AW13+BA13</f>
        <v>0</v>
      </c>
      <c r="F13" s="342">
        <f aca="true" t="shared" si="2" ref="F13:F33">K13+O13+S13+X13+AF13+AL13+AQ13+AU13+AY13+BC13</f>
        <v>0</v>
      </c>
      <c r="G13" s="342"/>
      <c r="H13" s="343"/>
      <c r="I13" s="342"/>
      <c r="J13" s="344"/>
      <c r="K13" s="342"/>
      <c r="L13" s="343"/>
      <c r="M13" s="342"/>
      <c r="N13" s="343"/>
      <c r="O13" s="342"/>
      <c r="P13" s="344"/>
      <c r="Q13" s="344"/>
      <c r="R13" s="344"/>
      <c r="S13" s="344"/>
      <c r="T13" s="344"/>
      <c r="U13" s="343"/>
      <c r="V13" s="342"/>
      <c r="W13" s="342"/>
      <c r="X13" s="342"/>
      <c r="Y13" s="345"/>
      <c r="Z13" s="340"/>
      <c r="AA13" s="340"/>
      <c r="AB13" s="345"/>
      <c r="AC13" s="340"/>
      <c r="AD13" s="340"/>
      <c r="AE13" s="345"/>
      <c r="AF13" s="340"/>
      <c r="AG13" s="340"/>
      <c r="AH13" s="345"/>
      <c r="AI13" s="340"/>
      <c r="AJ13" s="342"/>
      <c r="AK13" s="345"/>
      <c r="AL13" s="342"/>
      <c r="AM13" s="340"/>
      <c r="AN13" s="344"/>
      <c r="AO13" s="342"/>
      <c r="AP13" s="342"/>
      <c r="AQ13" s="342"/>
      <c r="AR13" s="344"/>
      <c r="AS13" s="342"/>
      <c r="AT13" s="342"/>
      <c r="AU13" s="342"/>
      <c r="AV13" s="344"/>
      <c r="AW13" s="342"/>
      <c r="AX13" s="342"/>
      <c r="AY13" s="342"/>
      <c r="AZ13" s="344"/>
      <c r="BA13" s="346"/>
      <c r="BB13" s="346"/>
      <c r="BC13" s="346"/>
      <c r="BD13" s="346"/>
      <c r="BE13" s="345"/>
      <c r="BF13" s="345"/>
      <c r="BG13" s="345">
        <v>6</v>
      </c>
      <c r="BH13" s="345">
        <v>6</v>
      </c>
      <c r="BI13" s="345"/>
      <c r="BJ13" s="345"/>
      <c r="BK13" s="340"/>
      <c r="BL13" s="345">
        <v>1</v>
      </c>
      <c r="BM13" s="345">
        <v>1</v>
      </c>
      <c r="BN13" s="347">
        <v>1</v>
      </c>
    </row>
    <row r="14" spans="1:66" ht="24">
      <c r="A14" s="340">
        <f t="shared" si="0"/>
        <v>3</v>
      </c>
      <c r="B14" s="341" t="s">
        <v>47</v>
      </c>
      <c r="C14" s="340">
        <v>21</v>
      </c>
      <c r="D14" s="340"/>
      <c r="E14" s="342">
        <f>I14+M14+Q14+V14+Z14+AD14+AJ14+AO14+AS14+AW14+BA14</f>
        <v>29.928</v>
      </c>
      <c r="F14" s="342">
        <f>K14+O14+S14+X14+AF14+AL14+AQ14+AU14+AY14+BC14</f>
        <v>22.8282</v>
      </c>
      <c r="G14" s="342"/>
      <c r="H14" s="343"/>
      <c r="I14" s="342"/>
      <c r="J14" s="342"/>
      <c r="K14" s="342"/>
      <c r="L14" s="343">
        <v>0.0352</v>
      </c>
      <c r="M14" s="344">
        <f>L14*360</f>
        <v>12.672</v>
      </c>
      <c r="N14" s="343">
        <v>0.0384</v>
      </c>
      <c r="O14" s="342">
        <f>N14*360</f>
        <v>13.823999999999998</v>
      </c>
      <c r="P14" s="344"/>
      <c r="Q14" s="344"/>
      <c r="R14" s="344"/>
      <c r="S14" s="344"/>
      <c r="T14" s="344"/>
      <c r="U14" s="343">
        <v>0.011</v>
      </c>
      <c r="V14" s="342">
        <f>U14*1047</f>
        <v>11.517</v>
      </c>
      <c r="W14" s="348">
        <v>0.0086</v>
      </c>
      <c r="X14" s="342">
        <f>W14*1047</f>
        <v>9.0042</v>
      </c>
      <c r="Y14" s="345"/>
      <c r="Z14" s="340"/>
      <c r="AA14" s="340">
        <v>3</v>
      </c>
      <c r="AB14" s="340">
        <v>3</v>
      </c>
      <c r="AC14" s="340"/>
      <c r="AD14" s="340"/>
      <c r="AE14" s="345"/>
      <c r="AF14" s="340"/>
      <c r="AG14" s="340">
        <v>3</v>
      </c>
      <c r="AH14" s="340">
        <v>3</v>
      </c>
      <c r="AI14" s="340"/>
      <c r="AJ14" s="342"/>
      <c r="AK14" s="345"/>
      <c r="AL14" s="342"/>
      <c r="AM14" s="340"/>
      <c r="AN14" s="250" t="s">
        <v>140</v>
      </c>
      <c r="AO14" s="342">
        <f>1.913*3</f>
        <v>5.739</v>
      </c>
      <c r="AP14" s="344"/>
      <c r="AQ14" s="342"/>
      <c r="AR14" s="344"/>
      <c r="AS14" s="342"/>
      <c r="AT14" s="342"/>
      <c r="AU14" s="342"/>
      <c r="AV14" s="344"/>
      <c r="AW14" s="342"/>
      <c r="AX14" s="342"/>
      <c r="AY14" s="342"/>
      <c r="AZ14" s="344"/>
      <c r="BA14" s="346"/>
      <c r="BB14" s="346"/>
      <c r="BC14" s="346"/>
      <c r="BD14" s="346"/>
      <c r="BE14" s="345"/>
      <c r="BF14" s="345"/>
      <c r="BG14" s="345">
        <v>6</v>
      </c>
      <c r="BH14" s="345">
        <v>6</v>
      </c>
      <c r="BI14" s="345"/>
      <c r="BJ14" s="345"/>
      <c r="BK14" s="340"/>
      <c r="BL14" s="345">
        <v>1</v>
      </c>
      <c r="BM14" s="345">
        <v>1</v>
      </c>
      <c r="BN14" s="347">
        <v>1</v>
      </c>
    </row>
    <row r="15" spans="1:66" ht="12">
      <c r="A15" s="340">
        <f t="shared" si="0"/>
        <v>4</v>
      </c>
      <c r="B15" s="341" t="s">
        <v>47</v>
      </c>
      <c r="C15" s="340">
        <v>25</v>
      </c>
      <c r="D15" s="340"/>
      <c r="E15" s="342">
        <f t="shared" si="1"/>
        <v>0</v>
      </c>
      <c r="F15" s="342">
        <f t="shared" si="2"/>
        <v>0</v>
      </c>
      <c r="G15" s="342"/>
      <c r="H15" s="343"/>
      <c r="I15" s="342"/>
      <c r="J15" s="342"/>
      <c r="K15" s="342"/>
      <c r="L15" s="343"/>
      <c r="M15" s="342"/>
      <c r="N15" s="343"/>
      <c r="O15" s="342"/>
      <c r="P15" s="344"/>
      <c r="Q15" s="344"/>
      <c r="R15" s="344"/>
      <c r="S15" s="344"/>
      <c r="T15" s="344"/>
      <c r="U15" s="343"/>
      <c r="V15" s="342"/>
      <c r="W15" s="348"/>
      <c r="X15" s="342"/>
      <c r="Y15" s="345"/>
      <c r="Z15" s="344"/>
      <c r="AA15" s="344"/>
      <c r="AB15" s="344"/>
      <c r="AC15" s="344"/>
      <c r="AD15" s="344"/>
      <c r="AE15" s="345"/>
      <c r="AF15" s="344"/>
      <c r="AG15" s="344"/>
      <c r="AH15" s="344"/>
      <c r="AI15" s="344"/>
      <c r="AJ15" s="342"/>
      <c r="AK15" s="345"/>
      <c r="AL15" s="342"/>
      <c r="AM15" s="344"/>
      <c r="AN15" s="250"/>
      <c r="AO15" s="342"/>
      <c r="AP15" s="344"/>
      <c r="AQ15" s="342"/>
      <c r="AR15" s="344"/>
      <c r="AS15" s="342"/>
      <c r="AT15" s="342"/>
      <c r="AU15" s="342"/>
      <c r="AV15" s="344"/>
      <c r="AW15" s="342"/>
      <c r="AX15" s="342"/>
      <c r="AY15" s="342"/>
      <c r="AZ15" s="344"/>
      <c r="BA15" s="346"/>
      <c r="BB15" s="346"/>
      <c r="BC15" s="346"/>
      <c r="BD15" s="346"/>
      <c r="BE15" s="345"/>
      <c r="BF15" s="345"/>
      <c r="BG15" s="345">
        <v>6</v>
      </c>
      <c r="BH15" s="345">
        <v>6</v>
      </c>
      <c r="BI15" s="345"/>
      <c r="BJ15" s="345"/>
      <c r="BK15" s="340"/>
      <c r="BL15" s="345">
        <v>1</v>
      </c>
      <c r="BM15" s="345">
        <v>1</v>
      </c>
      <c r="BN15" s="347">
        <v>1</v>
      </c>
    </row>
    <row r="16" spans="1:66" ht="12">
      <c r="A16" s="340">
        <f t="shared" si="0"/>
        <v>5</v>
      </c>
      <c r="B16" s="341" t="s">
        <v>47</v>
      </c>
      <c r="C16" s="340">
        <v>27</v>
      </c>
      <c r="D16" s="340"/>
      <c r="E16" s="342">
        <f t="shared" si="1"/>
        <v>0</v>
      </c>
      <c r="F16" s="342">
        <f t="shared" si="2"/>
        <v>0</v>
      </c>
      <c r="G16" s="342"/>
      <c r="H16" s="343"/>
      <c r="I16" s="342"/>
      <c r="J16" s="342"/>
      <c r="K16" s="342"/>
      <c r="L16" s="343"/>
      <c r="M16" s="342"/>
      <c r="N16" s="343"/>
      <c r="O16" s="342"/>
      <c r="P16" s="344"/>
      <c r="Q16" s="344"/>
      <c r="R16" s="344"/>
      <c r="S16" s="344"/>
      <c r="T16" s="344"/>
      <c r="U16" s="343"/>
      <c r="V16" s="342"/>
      <c r="W16" s="348"/>
      <c r="X16" s="342"/>
      <c r="Y16" s="345"/>
      <c r="Z16" s="340"/>
      <c r="AA16" s="340">
        <v>1</v>
      </c>
      <c r="AB16" s="340">
        <v>1</v>
      </c>
      <c r="AC16" s="340"/>
      <c r="AD16" s="340"/>
      <c r="AE16" s="345"/>
      <c r="AF16" s="340"/>
      <c r="AG16" s="340">
        <v>1</v>
      </c>
      <c r="AH16" s="340">
        <v>1</v>
      </c>
      <c r="AI16" s="340"/>
      <c r="AJ16" s="342"/>
      <c r="AK16" s="345"/>
      <c r="AL16" s="342"/>
      <c r="AM16" s="340"/>
      <c r="AN16" s="250"/>
      <c r="AO16" s="342"/>
      <c r="AP16" s="344"/>
      <c r="AQ16" s="342"/>
      <c r="AR16" s="344"/>
      <c r="AS16" s="342"/>
      <c r="AT16" s="342"/>
      <c r="AU16" s="342"/>
      <c r="AV16" s="344"/>
      <c r="AW16" s="342"/>
      <c r="AX16" s="342"/>
      <c r="AY16" s="342"/>
      <c r="AZ16" s="344"/>
      <c r="BA16" s="346"/>
      <c r="BB16" s="346"/>
      <c r="BC16" s="346"/>
      <c r="BD16" s="346"/>
      <c r="BE16" s="345"/>
      <c r="BF16" s="345"/>
      <c r="BG16" s="345">
        <v>1</v>
      </c>
      <c r="BH16" s="345">
        <v>1</v>
      </c>
      <c r="BI16" s="345"/>
      <c r="BJ16" s="345"/>
      <c r="BK16" s="340"/>
      <c r="BL16" s="345">
        <v>1</v>
      </c>
      <c r="BM16" s="345">
        <v>1</v>
      </c>
      <c r="BN16" s="347">
        <v>1</v>
      </c>
    </row>
    <row r="17" spans="1:66" ht="24">
      <c r="A17" s="340">
        <f t="shared" si="0"/>
        <v>6</v>
      </c>
      <c r="B17" s="341" t="s">
        <v>47</v>
      </c>
      <c r="C17" s="340">
        <v>31</v>
      </c>
      <c r="D17" s="340"/>
      <c r="E17" s="342">
        <f t="shared" si="1"/>
        <v>52.318</v>
      </c>
      <c r="F17" s="342">
        <f t="shared" si="2"/>
        <v>47.9206</v>
      </c>
      <c r="G17" s="342"/>
      <c r="H17" s="343"/>
      <c r="I17" s="342"/>
      <c r="J17" s="342"/>
      <c r="K17" s="342"/>
      <c r="L17" s="343">
        <v>0.0216</v>
      </c>
      <c r="M17" s="344">
        <f>L17*360</f>
        <v>7.776000000000001</v>
      </c>
      <c r="N17" s="343">
        <v>0.0216</v>
      </c>
      <c r="O17" s="342">
        <f>N17*360</f>
        <v>7.776000000000001</v>
      </c>
      <c r="P17" s="344"/>
      <c r="Q17" s="344"/>
      <c r="R17" s="344"/>
      <c r="S17" s="344"/>
      <c r="T17" s="344"/>
      <c r="U17" s="343">
        <v>0.006</v>
      </c>
      <c r="V17" s="342">
        <f>U17*1047</f>
        <v>6.282</v>
      </c>
      <c r="W17" s="348">
        <v>0.0018</v>
      </c>
      <c r="X17" s="342">
        <f>W17*1047</f>
        <v>1.8846</v>
      </c>
      <c r="Y17" s="345"/>
      <c r="Z17" s="340"/>
      <c r="AA17" s="340">
        <v>2</v>
      </c>
      <c r="AB17" s="340">
        <v>2</v>
      </c>
      <c r="AC17" s="340"/>
      <c r="AD17" s="340"/>
      <c r="AE17" s="345"/>
      <c r="AF17" s="340"/>
      <c r="AG17" s="340">
        <v>2</v>
      </c>
      <c r="AH17" s="340">
        <v>2</v>
      </c>
      <c r="AI17" s="340"/>
      <c r="AJ17" s="342"/>
      <c r="AK17" s="345"/>
      <c r="AL17" s="342"/>
      <c r="AM17" s="340"/>
      <c r="AN17" s="250" t="s">
        <v>141</v>
      </c>
      <c r="AO17" s="342">
        <f>1.913*20</f>
        <v>38.26</v>
      </c>
      <c r="AP17" s="250" t="s">
        <v>141</v>
      </c>
      <c r="AQ17" s="342">
        <f>1.913*20</f>
        <v>38.26</v>
      </c>
      <c r="AR17" s="344"/>
      <c r="AS17" s="342"/>
      <c r="AT17" s="342"/>
      <c r="AU17" s="342"/>
      <c r="AV17" s="344"/>
      <c r="AW17" s="342"/>
      <c r="AX17" s="342"/>
      <c r="AY17" s="342"/>
      <c r="AZ17" s="344"/>
      <c r="BA17" s="346"/>
      <c r="BB17" s="346"/>
      <c r="BC17" s="346"/>
      <c r="BD17" s="346"/>
      <c r="BE17" s="345"/>
      <c r="BF17" s="345"/>
      <c r="BG17" s="345">
        <v>1</v>
      </c>
      <c r="BH17" s="345">
        <v>1</v>
      </c>
      <c r="BI17" s="345"/>
      <c r="BJ17" s="345"/>
      <c r="BK17" s="340"/>
      <c r="BL17" s="345">
        <v>1</v>
      </c>
      <c r="BM17" s="345">
        <v>1</v>
      </c>
      <c r="BN17" s="347">
        <v>1</v>
      </c>
    </row>
    <row r="18" spans="1:66" ht="24">
      <c r="A18" s="340">
        <f t="shared" si="0"/>
        <v>7</v>
      </c>
      <c r="B18" s="341" t="s">
        <v>47</v>
      </c>
      <c r="C18" s="340">
        <v>35</v>
      </c>
      <c r="D18" s="340"/>
      <c r="E18" s="342">
        <f t="shared" si="1"/>
        <v>38.26</v>
      </c>
      <c r="F18" s="342">
        <f t="shared" si="2"/>
        <v>38.26</v>
      </c>
      <c r="G18" s="342"/>
      <c r="H18" s="343"/>
      <c r="I18" s="342"/>
      <c r="J18" s="342"/>
      <c r="K18" s="342"/>
      <c r="L18" s="343"/>
      <c r="M18" s="342"/>
      <c r="N18" s="343"/>
      <c r="O18" s="342"/>
      <c r="P18" s="344"/>
      <c r="Q18" s="344"/>
      <c r="R18" s="344"/>
      <c r="S18" s="344"/>
      <c r="T18" s="344"/>
      <c r="U18" s="343"/>
      <c r="V18" s="342"/>
      <c r="W18" s="348"/>
      <c r="X18" s="342"/>
      <c r="Y18" s="345"/>
      <c r="Z18" s="340"/>
      <c r="AA18" s="340">
        <v>2</v>
      </c>
      <c r="AB18" s="340">
        <v>2</v>
      </c>
      <c r="AC18" s="340"/>
      <c r="AD18" s="340"/>
      <c r="AE18" s="345"/>
      <c r="AF18" s="340"/>
      <c r="AG18" s="340">
        <v>3</v>
      </c>
      <c r="AH18" s="340">
        <v>3</v>
      </c>
      <c r="AI18" s="340"/>
      <c r="AJ18" s="342"/>
      <c r="AK18" s="345"/>
      <c r="AL18" s="342"/>
      <c r="AM18" s="340"/>
      <c r="AN18" s="250" t="s">
        <v>141</v>
      </c>
      <c r="AO18" s="342">
        <f>1.913*20</f>
        <v>38.26</v>
      </c>
      <c r="AP18" s="250" t="s">
        <v>141</v>
      </c>
      <c r="AQ18" s="342">
        <f>1.913*20</f>
        <v>38.26</v>
      </c>
      <c r="AR18" s="344"/>
      <c r="AS18" s="342"/>
      <c r="AT18" s="342"/>
      <c r="AU18" s="342"/>
      <c r="AV18" s="344"/>
      <c r="AW18" s="342"/>
      <c r="AX18" s="342"/>
      <c r="AY18" s="342"/>
      <c r="AZ18" s="344"/>
      <c r="BA18" s="346"/>
      <c r="BB18" s="346"/>
      <c r="BC18" s="346"/>
      <c r="BD18" s="346"/>
      <c r="BE18" s="345"/>
      <c r="BF18" s="345"/>
      <c r="BG18" s="345">
        <v>1</v>
      </c>
      <c r="BH18" s="345">
        <v>1</v>
      </c>
      <c r="BI18" s="345"/>
      <c r="BJ18" s="345"/>
      <c r="BK18" s="340"/>
      <c r="BL18" s="345">
        <v>1</v>
      </c>
      <c r="BM18" s="345">
        <v>1</v>
      </c>
      <c r="BN18" s="347">
        <v>1</v>
      </c>
    </row>
    <row r="19" spans="1:66" ht="12">
      <c r="A19" s="340">
        <f t="shared" si="0"/>
        <v>8</v>
      </c>
      <c r="B19" s="341" t="s">
        <v>47</v>
      </c>
      <c r="C19" s="340">
        <v>39</v>
      </c>
      <c r="D19" s="340"/>
      <c r="E19" s="342">
        <f t="shared" si="1"/>
        <v>0</v>
      </c>
      <c r="F19" s="342">
        <f t="shared" si="2"/>
        <v>0</v>
      </c>
      <c r="G19" s="342"/>
      <c r="H19" s="343"/>
      <c r="I19" s="342"/>
      <c r="J19" s="344"/>
      <c r="K19" s="342"/>
      <c r="L19" s="343"/>
      <c r="M19" s="342"/>
      <c r="N19" s="343"/>
      <c r="O19" s="342"/>
      <c r="P19" s="344"/>
      <c r="Q19" s="344"/>
      <c r="R19" s="344"/>
      <c r="S19" s="344"/>
      <c r="T19" s="344"/>
      <c r="U19" s="343"/>
      <c r="V19" s="342"/>
      <c r="W19" s="348"/>
      <c r="X19" s="342"/>
      <c r="Y19" s="345"/>
      <c r="Z19" s="340"/>
      <c r="AA19" s="340">
        <v>1</v>
      </c>
      <c r="AB19" s="340">
        <v>1</v>
      </c>
      <c r="AC19" s="340"/>
      <c r="AD19" s="340"/>
      <c r="AE19" s="345"/>
      <c r="AF19" s="340"/>
      <c r="AG19" s="340"/>
      <c r="AH19" s="340">
        <v>4</v>
      </c>
      <c r="AI19" s="340"/>
      <c r="AJ19" s="342"/>
      <c r="AK19" s="345"/>
      <c r="AL19" s="342"/>
      <c r="AM19" s="340"/>
      <c r="AN19" s="250"/>
      <c r="AO19" s="342"/>
      <c r="AP19" s="342"/>
      <c r="AQ19" s="342"/>
      <c r="AR19" s="344"/>
      <c r="AS19" s="342"/>
      <c r="AT19" s="342"/>
      <c r="AU19" s="342"/>
      <c r="AV19" s="344"/>
      <c r="AW19" s="342"/>
      <c r="AX19" s="342"/>
      <c r="AY19" s="342"/>
      <c r="AZ19" s="344"/>
      <c r="BA19" s="346"/>
      <c r="BB19" s="346"/>
      <c r="BC19" s="346"/>
      <c r="BD19" s="346"/>
      <c r="BE19" s="345"/>
      <c r="BF19" s="345"/>
      <c r="BG19" s="345">
        <v>1</v>
      </c>
      <c r="BH19" s="345">
        <v>1</v>
      </c>
      <c r="BI19" s="345"/>
      <c r="BJ19" s="345"/>
      <c r="BK19" s="340"/>
      <c r="BL19" s="345">
        <v>1</v>
      </c>
      <c r="BM19" s="345">
        <v>1</v>
      </c>
      <c r="BN19" s="347">
        <v>1</v>
      </c>
    </row>
    <row r="20" spans="1:66" ht="12">
      <c r="A20" s="340">
        <f t="shared" si="0"/>
        <v>9</v>
      </c>
      <c r="B20" s="341" t="s">
        <v>47</v>
      </c>
      <c r="C20" s="340">
        <v>41</v>
      </c>
      <c r="D20" s="340"/>
      <c r="E20" s="342">
        <f t="shared" si="1"/>
        <v>10.418</v>
      </c>
      <c r="F20" s="342">
        <f t="shared" si="2"/>
        <v>30.846</v>
      </c>
      <c r="G20" s="342"/>
      <c r="H20" s="343">
        <v>0.005</v>
      </c>
      <c r="I20" s="342">
        <f>H20*1450</f>
        <v>7.25</v>
      </c>
      <c r="J20" s="344">
        <v>0.003</v>
      </c>
      <c r="K20" s="342">
        <f>J20*1450</f>
        <v>4.3500000000000005</v>
      </c>
      <c r="L20" s="343">
        <v>0.0088</v>
      </c>
      <c r="M20" s="344">
        <f aca="true" t="shared" si="3" ref="M20:M28">L20*360</f>
        <v>3.168</v>
      </c>
      <c r="N20" s="343">
        <v>0.0736</v>
      </c>
      <c r="O20" s="342">
        <f>N20*360</f>
        <v>26.496</v>
      </c>
      <c r="P20" s="344"/>
      <c r="Q20" s="344"/>
      <c r="R20" s="344"/>
      <c r="S20" s="344"/>
      <c r="T20" s="344"/>
      <c r="U20" s="343"/>
      <c r="V20" s="342"/>
      <c r="W20" s="348"/>
      <c r="X20" s="342"/>
      <c r="Y20" s="345"/>
      <c r="Z20" s="340"/>
      <c r="AA20" s="340">
        <v>3</v>
      </c>
      <c r="AB20" s="340">
        <v>3</v>
      </c>
      <c r="AC20" s="340"/>
      <c r="AD20" s="340"/>
      <c r="AE20" s="345"/>
      <c r="AF20" s="340"/>
      <c r="AG20" s="340">
        <v>2</v>
      </c>
      <c r="AH20" s="340">
        <v>2</v>
      </c>
      <c r="AI20" s="340"/>
      <c r="AJ20" s="342"/>
      <c r="AK20" s="345"/>
      <c r="AL20" s="342"/>
      <c r="AM20" s="340"/>
      <c r="AN20" s="250"/>
      <c r="AO20" s="342"/>
      <c r="AP20" s="344"/>
      <c r="AQ20" s="342"/>
      <c r="AR20" s="344"/>
      <c r="AS20" s="342"/>
      <c r="AT20" s="342"/>
      <c r="AU20" s="342"/>
      <c r="AV20" s="344"/>
      <c r="AW20" s="342"/>
      <c r="AX20" s="342"/>
      <c r="AY20" s="342"/>
      <c r="AZ20" s="344"/>
      <c r="BA20" s="346"/>
      <c r="BB20" s="346"/>
      <c r="BC20" s="346"/>
      <c r="BD20" s="346"/>
      <c r="BE20" s="345"/>
      <c r="BF20" s="345"/>
      <c r="BG20" s="345">
        <v>1</v>
      </c>
      <c r="BH20" s="345">
        <v>1</v>
      </c>
      <c r="BI20" s="345"/>
      <c r="BJ20" s="345"/>
      <c r="BK20" s="340"/>
      <c r="BL20" s="345">
        <v>1</v>
      </c>
      <c r="BM20" s="345">
        <v>1</v>
      </c>
      <c r="BN20" s="347">
        <v>1</v>
      </c>
    </row>
    <row r="21" spans="1:66" ht="12">
      <c r="A21" s="340">
        <f t="shared" si="0"/>
        <v>10</v>
      </c>
      <c r="B21" s="341" t="s">
        <v>47</v>
      </c>
      <c r="C21" s="340">
        <v>43</v>
      </c>
      <c r="D21" s="340"/>
      <c r="E21" s="342">
        <f t="shared" si="1"/>
        <v>6.870000000000001</v>
      </c>
      <c r="F21" s="342">
        <f t="shared" si="2"/>
        <v>16.948</v>
      </c>
      <c r="G21" s="342"/>
      <c r="H21" s="343">
        <v>0.003</v>
      </c>
      <c r="I21" s="342">
        <f>H21*1450</f>
        <v>4.3500000000000005</v>
      </c>
      <c r="J21" s="344">
        <v>0.01</v>
      </c>
      <c r="K21" s="342">
        <f>J21*1450</f>
        <v>14.5</v>
      </c>
      <c r="L21" s="343">
        <v>0.007</v>
      </c>
      <c r="M21" s="344">
        <f t="shared" si="3"/>
        <v>2.52</v>
      </c>
      <c r="N21" s="343">
        <v>0.0068</v>
      </c>
      <c r="O21" s="342">
        <f>N21*360</f>
        <v>2.448</v>
      </c>
      <c r="P21" s="344"/>
      <c r="Q21" s="344"/>
      <c r="R21" s="344"/>
      <c r="S21" s="344"/>
      <c r="T21" s="344"/>
      <c r="U21" s="343"/>
      <c r="V21" s="342"/>
      <c r="W21" s="348"/>
      <c r="X21" s="342"/>
      <c r="Y21" s="345"/>
      <c r="Z21" s="340"/>
      <c r="AA21" s="340">
        <v>3</v>
      </c>
      <c r="AB21" s="340">
        <v>3</v>
      </c>
      <c r="AC21" s="340"/>
      <c r="AD21" s="340"/>
      <c r="AE21" s="345"/>
      <c r="AF21" s="340"/>
      <c r="AG21" s="340">
        <v>2</v>
      </c>
      <c r="AH21" s="340">
        <v>2</v>
      </c>
      <c r="AI21" s="340"/>
      <c r="AJ21" s="342"/>
      <c r="AK21" s="345"/>
      <c r="AL21" s="342"/>
      <c r="AM21" s="340"/>
      <c r="AN21" s="250"/>
      <c r="AO21" s="342"/>
      <c r="AP21" s="342"/>
      <c r="AQ21" s="342"/>
      <c r="AR21" s="344"/>
      <c r="AS21" s="342"/>
      <c r="AT21" s="342"/>
      <c r="AU21" s="342"/>
      <c r="AV21" s="344"/>
      <c r="AW21" s="342"/>
      <c r="AX21" s="342"/>
      <c r="AY21" s="342"/>
      <c r="AZ21" s="344"/>
      <c r="BA21" s="346"/>
      <c r="BB21" s="346"/>
      <c r="BC21" s="346"/>
      <c r="BD21" s="346"/>
      <c r="BE21" s="345"/>
      <c r="BF21" s="345"/>
      <c r="BG21" s="345">
        <v>4</v>
      </c>
      <c r="BH21" s="345">
        <v>4</v>
      </c>
      <c r="BI21" s="345"/>
      <c r="BJ21" s="345"/>
      <c r="BK21" s="340"/>
      <c r="BL21" s="345">
        <v>1</v>
      </c>
      <c r="BM21" s="345">
        <v>1</v>
      </c>
      <c r="BN21" s="347">
        <v>1</v>
      </c>
    </row>
    <row r="22" spans="1:66" ht="12">
      <c r="A22" s="340">
        <f t="shared" si="0"/>
        <v>11</v>
      </c>
      <c r="B22" s="341" t="s">
        <v>47</v>
      </c>
      <c r="C22" s="340">
        <v>45</v>
      </c>
      <c r="D22" s="340"/>
      <c r="E22" s="342">
        <f t="shared" si="1"/>
        <v>0</v>
      </c>
      <c r="F22" s="342">
        <f t="shared" si="2"/>
        <v>0</v>
      </c>
      <c r="G22" s="342"/>
      <c r="H22" s="343"/>
      <c r="I22" s="342"/>
      <c r="J22" s="344"/>
      <c r="K22" s="342"/>
      <c r="L22" s="343"/>
      <c r="M22" s="344">
        <f t="shared" si="3"/>
        <v>0</v>
      </c>
      <c r="N22" s="343"/>
      <c r="O22" s="342"/>
      <c r="P22" s="344"/>
      <c r="Q22" s="344"/>
      <c r="R22" s="344"/>
      <c r="S22" s="344"/>
      <c r="T22" s="344"/>
      <c r="U22" s="343"/>
      <c r="V22" s="342"/>
      <c r="W22" s="348"/>
      <c r="X22" s="342"/>
      <c r="Y22" s="345"/>
      <c r="Z22" s="340"/>
      <c r="AA22" s="340">
        <v>2</v>
      </c>
      <c r="AB22" s="340">
        <v>2</v>
      </c>
      <c r="AC22" s="340"/>
      <c r="AD22" s="340"/>
      <c r="AE22" s="345"/>
      <c r="AF22" s="340"/>
      <c r="AG22" s="340"/>
      <c r="AH22" s="340"/>
      <c r="AI22" s="340"/>
      <c r="AJ22" s="342"/>
      <c r="AK22" s="345"/>
      <c r="AL22" s="342"/>
      <c r="AM22" s="340"/>
      <c r="AN22" s="250"/>
      <c r="AO22" s="342"/>
      <c r="AP22" s="342"/>
      <c r="AQ22" s="342"/>
      <c r="AR22" s="344"/>
      <c r="AS22" s="342"/>
      <c r="AT22" s="342"/>
      <c r="AU22" s="342"/>
      <c r="AV22" s="344"/>
      <c r="AW22" s="342"/>
      <c r="AX22" s="342"/>
      <c r="AY22" s="342"/>
      <c r="AZ22" s="344"/>
      <c r="BA22" s="346"/>
      <c r="BB22" s="346"/>
      <c r="BC22" s="346"/>
      <c r="BD22" s="346"/>
      <c r="BE22" s="345"/>
      <c r="BF22" s="345"/>
      <c r="BG22" s="345">
        <v>4</v>
      </c>
      <c r="BH22" s="345">
        <v>4</v>
      </c>
      <c r="BI22" s="345"/>
      <c r="BJ22" s="345"/>
      <c r="BK22" s="340"/>
      <c r="BL22" s="345">
        <v>1</v>
      </c>
      <c r="BM22" s="345">
        <v>1</v>
      </c>
      <c r="BN22" s="347">
        <v>1</v>
      </c>
    </row>
    <row r="23" spans="1:66" ht="12">
      <c r="A23" s="340">
        <f t="shared" si="0"/>
        <v>12</v>
      </c>
      <c r="B23" s="341" t="s">
        <v>47</v>
      </c>
      <c r="C23" s="340">
        <v>51</v>
      </c>
      <c r="D23" s="340"/>
      <c r="E23" s="342">
        <f t="shared" si="1"/>
        <v>3.168</v>
      </c>
      <c r="F23" s="342">
        <f t="shared" si="2"/>
        <v>4.32</v>
      </c>
      <c r="G23" s="342"/>
      <c r="H23" s="343"/>
      <c r="I23" s="342"/>
      <c r="J23" s="344"/>
      <c r="K23" s="342"/>
      <c r="L23" s="343">
        <v>0.0088</v>
      </c>
      <c r="M23" s="344">
        <f t="shared" si="3"/>
        <v>3.168</v>
      </c>
      <c r="N23" s="343">
        <v>0.012</v>
      </c>
      <c r="O23" s="342">
        <f aca="true" t="shared" si="4" ref="O23:O31">N23*360</f>
        <v>4.32</v>
      </c>
      <c r="P23" s="344"/>
      <c r="Q23" s="344"/>
      <c r="R23" s="344"/>
      <c r="S23" s="344"/>
      <c r="T23" s="344"/>
      <c r="U23" s="343"/>
      <c r="V23" s="342"/>
      <c r="W23" s="348"/>
      <c r="X23" s="342"/>
      <c r="Y23" s="345"/>
      <c r="Z23" s="340"/>
      <c r="AA23" s="340">
        <v>2</v>
      </c>
      <c r="AB23" s="340">
        <v>2</v>
      </c>
      <c r="AC23" s="340"/>
      <c r="AD23" s="340"/>
      <c r="AE23" s="345"/>
      <c r="AF23" s="340"/>
      <c r="AG23" s="340"/>
      <c r="AH23" s="340"/>
      <c r="AI23" s="340"/>
      <c r="AJ23" s="342"/>
      <c r="AK23" s="345"/>
      <c r="AL23" s="342"/>
      <c r="AM23" s="340"/>
      <c r="AN23" s="250"/>
      <c r="AO23" s="342"/>
      <c r="AP23" s="344"/>
      <c r="AQ23" s="342"/>
      <c r="AR23" s="344"/>
      <c r="AS23" s="342"/>
      <c r="AT23" s="342"/>
      <c r="AU23" s="342"/>
      <c r="AV23" s="344"/>
      <c r="AW23" s="342"/>
      <c r="AX23" s="342"/>
      <c r="AY23" s="342"/>
      <c r="AZ23" s="344"/>
      <c r="BA23" s="346"/>
      <c r="BB23" s="346"/>
      <c r="BC23" s="346"/>
      <c r="BD23" s="346"/>
      <c r="BE23" s="345"/>
      <c r="BF23" s="345"/>
      <c r="BG23" s="345">
        <v>3</v>
      </c>
      <c r="BH23" s="345">
        <v>3</v>
      </c>
      <c r="BI23" s="345"/>
      <c r="BJ23" s="345"/>
      <c r="BK23" s="340"/>
      <c r="BL23" s="345">
        <v>1</v>
      </c>
      <c r="BM23" s="345">
        <v>1</v>
      </c>
      <c r="BN23" s="347">
        <v>1</v>
      </c>
    </row>
    <row r="24" spans="1:66" ht="12">
      <c r="A24" s="340">
        <f t="shared" si="0"/>
        <v>13</v>
      </c>
      <c r="B24" s="341" t="s">
        <v>49</v>
      </c>
      <c r="C24" s="340">
        <v>53</v>
      </c>
      <c r="D24" s="340"/>
      <c r="E24" s="342">
        <f t="shared" si="1"/>
        <v>2.16</v>
      </c>
      <c r="F24" s="342">
        <f t="shared" si="2"/>
        <v>9.133500000000002</v>
      </c>
      <c r="G24" s="342"/>
      <c r="H24" s="343"/>
      <c r="I24" s="342"/>
      <c r="J24" s="344"/>
      <c r="K24" s="342"/>
      <c r="L24" s="343">
        <v>0.006</v>
      </c>
      <c r="M24" s="344">
        <f t="shared" si="3"/>
        <v>2.16</v>
      </c>
      <c r="N24" s="343">
        <v>0.0181</v>
      </c>
      <c r="O24" s="342">
        <f t="shared" si="4"/>
        <v>6.516000000000001</v>
      </c>
      <c r="P24" s="344"/>
      <c r="Q24" s="344"/>
      <c r="R24" s="344"/>
      <c r="S24" s="344"/>
      <c r="T24" s="344"/>
      <c r="U24" s="343"/>
      <c r="V24" s="342"/>
      <c r="W24" s="348">
        <v>0.0025</v>
      </c>
      <c r="X24" s="342">
        <f>W24*1047</f>
        <v>2.6175</v>
      </c>
      <c r="Y24" s="345"/>
      <c r="Z24" s="340"/>
      <c r="AA24" s="340">
        <v>2</v>
      </c>
      <c r="AB24" s="340">
        <v>2</v>
      </c>
      <c r="AC24" s="340"/>
      <c r="AD24" s="340"/>
      <c r="AE24" s="345"/>
      <c r="AF24" s="340"/>
      <c r="AG24" s="340">
        <v>2</v>
      </c>
      <c r="AH24" s="340">
        <v>2.3</v>
      </c>
      <c r="AI24" s="340"/>
      <c r="AJ24" s="342"/>
      <c r="AK24" s="345"/>
      <c r="AL24" s="342"/>
      <c r="AM24" s="340"/>
      <c r="AN24" s="250"/>
      <c r="AO24" s="342"/>
      <c r="AP24" s="342"/>
      <c r="AQ24" s="342"/>
      <c r="AR24" s="344"/>
      <c r="AS24" s="342"/>
      <c r="AT24" s="342"/>
      <c r="AU24" s="342"/>
      <c r="AV24" s="344"/>
      <c r="AW24" s="342"/>
      <c r="AX24" s="342"/>
      <c r="AY24" s="342"/>
      <c r="AZ24" s="344"/>
      <c r="BA24" s="346"/>
      <c r="BB24" s="346"/>
      <c r="BC24" s="346"/>
      <c r="BD24" s="346"/>
      <c r="BE24" s="345"/>
      <c r="BF24" s="345"/>
      <c r="BG24" s="345">
        <v>6</v>
      </c>
      <c r="BH24" s="345">
        <v>6</v>
      </c>
      <c r="BI24" s="345"/>
      <c r="BJ24" s="345"/>
      <c r="BK24" s="340"/>
      <c r="BL24" s="345">
        <v>1</v>
      </c>
      <c r="BM24" s="345">
        <v>1</v>
      </c>
      <c r="BN24" s="347">
        <v>1</v>
      </c>
    </row>
    <row r="25" spans="1:66" ht="12">
      <c r="A25" s="340">
        <f t="shared" si="0"/>
        <v>14</v>
      </c>
      <c r="B25" s="341" t="s">
        <v>50</v>
      </c>
      <c r="C25" s="340">
        <v>5</v>
      </c>
      <c r="D25" s="340"/>
      <c r="E25" s="342">
        <f t="shared" si="1"/>
        <v>9.489</v>
      </c>
      <c r="F25" s="342">
        <f t="shared" si="2"/>
        <v>12.646799999999999</v>
      </c>
      <c r="G25" s="342"/>
      <c r="H25" s="343"/>
      <c r="I25" s="342"/>
      <c r="J25" s="344"/>
      <c r="K25" s="342"/>
      <c r="L25" s="343">
        <v>0.006</v>
      </c>
      <c r="M25" s="344">
        <f t="shared" si="3"/>
        <v>2.16</v>
      </c>
      <c r="N25" s="343">
        <v>0.0107</v>
      </c>
      <c r="O25" s="342">
        <f t="shared" si="4"/>
        <v>3.852</v>
      </c>
      <c r="P25" s="344"/>
      <c r="Q25" s="344"/>
      <c r="R25" s="344"/>
      <c r="S25" s="344"/>
      <c r="T25" s="344"/>
      <c r="U25" s="343">
        <v>0.007</v>
      </c>
      <c r="V25" s="342">
        <f>U25*1047</f>
        <v>7.329</v>
      </c>
      <c r="W25" s="348">
        <v>0.0084</v>
      </c>
      <c r="X25" s="342">
        <f>W25*1047</f>
        <v>8.794799999999999</v>
      </c>
      <c r="Y25" s="345"/>
      <c r="Z25" s="340"/>
      <c r="AA25" s="340">
        <v>2</v>
      </c>
      <c r="AB25" s="340">
        <v>2</v>
      </c>
      <c r="AC25" s="340"/>
      <c r="AD25" s="340"/>
      <c r="AE25" s="345"/>
      <c r="AF25" s="340"/>
      <c r="AG25" s="340">
        <v>2</v>
      </c>
      <c r="AH25" s="340">
        <v>2.1</v>
      </c>
      <c r="AI25" s="340"/>
      <c r="AJ25" s="342"/>
      <c r="AK25" s="345"/>
      <c r="AL25" s="342"/>
      <c r="AM25" s="340"/>
      <c r="AN25" s="250"/>
      <c r="AO25" s="342"/>
      <c r="AP25" s="342"/>
      <c r="AQ25" s="342"/>
      <c r="AR25" s="344"/>
      <c r="AS25" s="342"/>
      <c r="AT25" s="342"/>
      <c r="AU25" s="342"/>
      <c r="AV25" s="344"/>
      <c r="AW25" s="342"/>
      <c r="AX25" s="342"/>
      <c r="AY25" s="342"/>
      <c r="AZ25" s="344"/>
      <c r="BA25" s="346"/>
      <c r="BB25" s="346"/>
      <c r="BC25" s="346"/>
      <c r="BD25" s="346"/>
      <c r="BE25" s="345"/>
      <c r="BF25" s="345"/>
      <c r="BG25" s="345">
        <v>6</v>
      </c>
      <c r="BH25" s="345">
        <v>6</v>
      </c>
      <c r="BI25" s="345"/>
      <c r="BJ25" s="345"/>
      <c r="BK25" s="340"/>
      <c r="BL25" s="345">
        <v>1</v>
      </c>
      <c r="BM25" s="345">
        <v>1</v>
      </c>
      <c r="BN25" s="347">
        <v>1</v>
      </c>
    </row>
    <row r="26" spans="1:66" ht="12">
      <c r="A26" s="340">
        <f t="shared" si="0"/>
        <v>15</v>
      </c>
      <c r="B26" s="341" t="s">
        <v>51</v>
      </c>
      <c r="C26" s="340">
        <v>65</v>
      </c>
      <c r="D26" s="340"/>
      <c r="E26" s="342">
        <f t="shared" si="1"/>
        <v>3.672</v>
      </c>
      <c r="F26" s="342">
        <f t="shared" si="2"/>
        <v>1.044</v>
      </c>
      <c r="G26" s="342"/>
      <c r="H26" s="343"/>
      <c r="I26" s="342"/>
      <c r="J26" s="344"/>
      <c r="K26" s="342"/>
      <c r="L26" s="343">
        <v>0.0102</v>
      </c>
      <c r="M26" s="344">
        <f t="shared" si="3"/>
        <v>3.672</v>
      </c>
      <c r="N26" s="343">
        <v>0.0029</v>
      </c>
      <c r="O26" s="344">
        <f t="shared" si="4"/>
        <v>1.044</v>
      </c>
      <c r="P26" s="344"/>
      <c r="Q26" s="344"/>
      <c r="R26" s="344"/>
      <c r="S26" s="344"/>
      <c r="T26" s="344"/>
      <c r="U26" s="343"/>
      <c r="V26" s="342"/>
      <c r="W26" s="348"/>
      <c r="X26" s="342"/>
      <c r="Y26" s="345"/>
      <c r="Z26" s="340"/>
      <c r="AA26" s="340"/>
      <c r="AB26" s="340"/>
      <c r="AC26" s="340"/>
      <c r="AD26" s="340"/>
      <c r="AE26" s="345"/>
      <c r="AF26" s="340"/>
      <c r="AG26" s="340"/>
      <c r="AH26" s="340"/>
      <c r="AI26" s="340"/>
      <c r="AJ26" s="342"/>
      <c r="AK26" s="345"/>
      <c r="AL26" s="342"/>
      <c r="AM26" s="340"/>
      <c r="AN26" s="250"/>
      <c r="AO26" s="342"/>
      <c r="AP26" s="344"/>
      <c r="AQ26" s="342"/>
      <c r="AR26" s="344"/>
      <c r="AS26" s="342"/>
      <c r="AT26" s="342"/>
      <c r="AU26" s="342"/>
      <c r="AV26" s="344"/>
      <c r="AW26" s="342"/>
      <c r="AX26" s="342"/>
      <c r="AY26" s="342"/>
      <c r="AZ26" s="344"/>
      <c r="BA26" s="346"/>
      <c r="BB26" s="346"/>
      <c r="BC26" s="346"/>
      <c r="BD26" s="346"/>
      <c r="BE26" s="345"/>
      <c r="BF26" s="345"/>
      <c r="BG26" s="345">
        <v>2</v>
      </c>
      <c r="BH26" s="345"/>
      <c r="BI26" s="345"/>
      <c r="BJ26" s="345"/>
      <c r="BK26" s="340"/>
      <c r="BL26" s="345"/>
      <c r="BM26" s="345">
        <v>1</v>
      </c>
      <c r="BN26" s="347"/>
    </row>
    <row r="27" spans="1:66" ht="12">
      <c r="A27" s="340">
        <f t="shared" si="0"/>
        <v>16</v>
      </c>
      <c r="B27" s="341" t="s">
        <v>51</v>
      </c>
      <c r="C27" s="340">
        <v>67</v>
      </c>
      <c r="D27" s="340"/>
      <c r="E27" s="342">
        <f t="shared" si="1"/>
        <v>11.808000000000002</v>
      </c>
      <c r="F27" s="342">
        <f t="shared" si="2"/>
        <v>14.328000000000001</v>
      </c>
      <c r="G27" s="342"/>
      <c r="H27" s="343"/>
      <c r="I27" s="342"/>
      <c r="J27" s="344"/>
      <c r="K27" s="342"/>
      <c r="L27" s="343">
        <v>0.0328</v>
      </c>
      <c r="M27" s="344">
        <f t="shared" si="3"/>
        <v>11.808000000000002</v>
      </c>
      <c r="N27" s="343">
        <v>0.0398</v>
      </c>
      <c r="O27" s="344">
        <f t="shared" si="4"/>
        <v>14.328000000000001</v>
      </c>
      <c r="P27" s="344"/>
      <c r="Q27" s="344"/>
      <c r="R27" s="344"/>
      <c r="S27" s="344"/>
      <c r="T27" s="344"/>
      <c r="U27" s="343"/>
      <c r="V27" s="342"/>
      <c r="W27" s="348"/>
      <c r="X27" s="342"/>
      <c r="Y27" s="345"/>
      <c r="Z27" s="340"/>
      <c r="AA27" s="340"/>
      <c r="AB27" s="340"/>
      <c r="AC27" s="340"/>
      <c r="AD27" s="340"/>
      <c r="AE27" s="345"/>
      <c r="AF27" s="340"/>
      <c r="AG27" s="340"/>
      <c r="AH27" s="340"/>
      <c r="AI27" s="340"/>
      <c r="AJ27" s="342"/>
      <c r="AK27" s="345"/>
      <c r="AL27" s="342"/>
      <c r="AM27" s="340"/>
      <c r="AN27" s="250"/>
      <c r="AO27" s="342"/>
      <c r="AP27" s="344"/>
      <c r="AQ27" s="342"/>
      <c r="AR27" s="344"/>
      <c r="AS27" s="342"/>
      <c r="AT27" s="342"/>
      <c r="AU27" s="342"/>
      <c r="AV27" s="344"/>
      <c r="AW27" s="342"/>
      <c r="AX27" s="342"/>
      <c r="AY27" s="342"/>
      <c r="AZ27" s="344"/>
      <c r="BA27" s="346"/>
      <c r="BB27" s="346"/>
      <c r="BC27" s="346"/>
      <c r="BD27" s="346"/>
      <c r="BE27" s="345"/>
      <c r="BF27" s="345"/>
      <c r="BG27" s="345">
        <v>2</v>
      </c>
      <c r="BH27" s="345"/>
      <c r="BI27" s="345"/>
      <c r="BJ27" s="345"/>
      <c r="BK27" s="340"/>
      <c r="BL27" s="345"/>
      <c r="BM27" s="345">
        <v>1</v>
      </c>
      <c r="BN27" s="347"/>
    </row>
    <row r="28" spans="1:66" ht="12">
      <c r="A28" s="340">
        <f t="shared" si="0"/>
        <v>17</v>
      </c>
      <c r="B28" s="341" t="s">
        <v>51</v>
      </c>
      <c r="C28" s="340">
        <v>69</v>
      </c>
      <c r="D28" s="340"/>
      <c r="E28" s="342">
        <f t="shared" si="1"/>
        <v>5.328</v>
      </c>
      <c r="F28" s="342">
        <f t="shared" si="2"/>
        <v>7.4879999999999995</v>
      </c>
      <c r="G28" s="342"/>
      <c r="H28" s="343"/>
      <c r="I28" s="342"/>
      <c r="J28" s="344"/>
      <c r="K28" s="342"/>
      <c r="L28" s="343">
        <v>0.0148</v>
      </c>
      <c r="M28" s="344">
        <f t="shared" si="3"/>
        <v>5.328</v>
      </c>
      <c r="N28" s="343">
        <v>0.0208</v>
      </c>
      <c r="O28" s="342">
        <f t="shared" si="4"/>
        <v>7.4879999999999995</v>
      </c>
      <c r="P28" s="344"/>
      <c r="Q28" s="344"/>
      <c r="R28" s="344"/>
      <c r="S28" s="344"/>
      <c r="T28" s="344"/>
      <c r="U28" s="343"/>
      <c r="V28" s="342"/>
      <c r="W28" s="348"/>
      <c r="X28" s="342"/>
      <c r="Y28" s="345"/>
      <c r="Z28" s="340"/>
      <c r="AA28" s="340">
        <v>3</v>
      </c>
      <c r="AB28" s="340">
        <v>3</v>
      </c>
      <c r="AC28" s="340"/>
      <c r="AD28" s="340"/>
      <c r="AE28" s="345"/>
      <c r="AF28" s="340"/>
      <c r="AG28" s="340"/>
      <c r="AH28" s="340"/>
      <c r="AI28" s="340"/>
      <c r="AJ28" s="342"/>
      <c r="AK28" s="345"/>
      <c r="AL28" s="342"/>
      <c r="AM28" s="340"/>
      <c r="AN28" s="250"/>
      <c r="AO28" s="342"/>
      <c r="AP28" s="344"/>
      <c r="AQ28" s="342"/>
      <c r="AR28" s="344"/>
      <c r="AS28" s="342"/>
      <c r="AT28" s="342"/>
      <c r="AU28" s="342"/>
      <c r="AV28" s="344"/>
      <c r="AW28" s="342"/>
      <c r="AX28" s="342"/>
      <c r="AY28" s="342"/>
      <c r="AZ28" s="344"/>
      <c r="BA28" s="346"/>
      <c r="BB28" s="346"/>
      <c r="BC28" s="346"/>
      <c r="BD28" s="346"/>
      <c r="BE28" s="345"/>
      <c r="BF28" s="345"/>
      <c r="BG28" s="345">
        <v>5</v>
      </c>
      <c r="BH28" s="345">
        <v>5</v>
      </c>
      <c r="BI28" s="345"/>
      <c r="BJ28" s="345"/>
      <c r="BK28" s="340"/>
      <c r="BL28" s="345">
        <v>1</v>
      </c>
      <c r="BM28" s="345">
        <v>1</v>
      </c>
      <c r="BN28" s="347">
        <v>1</v>
      </c>
    </row>
    <row r="29" spans="1:66" ht="12">
      <c r="A29" s="340">
        <f t="shared" si="0"/>
        <v>18</v>
      </c>
      <c r="B29" s="341" t="s">
        <v>51</v>
      </c>
      <c r="C29" s="340">
        <v>73</v>
      </c>
      <c r="D29" s="340"/>
      <c r="E29" s="342">
        <f t="shared" si="1"/>
        <v>0</v>
      </c>
      <c r="F29" s="342">
        <f t="shared" si="2"/>
        <v>3.492</v>
      </c>
      <c r="G29" s="342"/>
      <c r="H29" s="343"/>
      <c r="I29" s="342"/>
      <c r="J29" s="344"/>
      <c r="K29" s="342"/>
      <c r="L29" s="343"/>
      <c r="M29" s="342"/>
      <c r="N29" s="343">
        <v>0.0097</v>
      </c>
      <c r="O29" s="344">
        <f t="shared" si="4"/>
        <v>3.492</v>
      </c>
      <c r="P29" s="344"/>
      <c r="Q29" s="344"/>
      <c r="R29" s="344"/>
      <c r="S29" s="344"/>
      <c r="T29" s="344"/>
      <c r="U29" s="343"/>
      <c r="V29" s="342"/>
      <c r="W29" s="348"/>
      <c r="X29" s="342"/>
      <c r="Y29" s="345"/>
      <c r="Z29" s="340"/>
      <c r="AA29" s="340"/>
      <c r="AB29" s="340"/>
      <c r="AC29" s="340"/>
      <c r="AD29" s="340"/>
      <c r="AE29" s="345"/>
      <c r="AF29" s="340"/>
      <c r="AG29" s="340"/>
      <c r="AH29" s="340"/>
      <c r="AI29" s="340"/>
      <c r="AJ29" s="342"/>
      <c r="AK29" s="345"/>
      <c r="AL29" s="342"/>
      <c r="AM29" s="340"/>
      <c r="AN29" s="250"/>
      <c r="AO29" s="342"/>
      <c r="AP29" s="344"/>
      <c r="AQ29" s="342"/>
      <c r="AR29" s="344"/>
      <c r="AS29" s="342"/>
      <c r="AT29" s="342"/>
      <c r="AU29" s="342"/>
      <c r="AV29" s="344"/>
      <c r="AW29" s="342"/>
      <c r="AX29" s="342"/>
      <c r="AY29" s="342"/>
      <c r="AZ29" s="344"/>
      <c r="BA29" s="346"/>
      <c r="BB29" s="346"/>
      <c r="BC29" s="346"/>
      <c r="BD29" s="346"/>
      <c r="BE29" s="345"/>
      <c r="BF29" s="345"/>
      <c r="BG29" s="345">
        <v>2</v>
      </c>
      <c r="BH29" s="345"/>
      <c r="BI29" s="345"/>
      <c r="BJ29" s="345"/>
      <c r="BK29" s="340"/>
      <c r="BL29" s="345"/>
      <c r="BM29" s="345">
        <v>1</v>
      </c>
      <c r="BN29" s="347"/>
    </row>
    <row r="30" spans="1:66" ht="12">
      <c r="A30" s="340">
        <f t="shared" si="0"/>
        <v>19</v>
      </c>
      <c r="B30" s="341" t="s">
        <v>51</v>
      </c>
      <c r="C30" s="340">
        <v>79</v>
      </c>
      <c r="D30" s="340"/>
      <c r="E30" s="342">
        <f t="shared" si="1"/>
        <v>13.751999999999999</v>
      </c>
      <c r="F30" s="342">
        <f t="shared" si="2"/>
        <v>13.86</v>
      </c>
      <c r="G30" s="342"/>
      <c r="H30" s="343"/>
      <c r="I30" s="342"/>
      <c r="J30" s="344"/>
      <c r="K30" s="342"/>
      <c r="L30" s="343">
        <v>0.0382</v>
      </c>
      <c r="M30" s="344">
        <f>L30*360</f>
        <v>13.751999999999999</v>
      </c>
      <c r="N30" s="343">
        <v>0.0385</v>
      </c>
      <c r="O30" s="344">
        <f t="shared" si="4"/>
        <v>13.86</v>
      </c>
      <c r="P30" s="344"/>
      <c r="Q30" s="344"/>
      <c r="R30" s="344"/>
      <c r="S30" s="344"/>
      <c r="T30" s="344"/>
      <c r="U30" s="343"/>
      <c r="V30" s="342"/>
      <c r="W30" s="348"/>
      <c r="X30" s="342"/>
      <c r="Y30" s="345"/>
      <c r="Z30" s="340"/>
      <c r="AA30" s="340"/>
      <c r="AB30" s="340"/>
      <c r="AC30" s="340"/>
      <c r="AD30" s="340"/>
      <c r="AE30" s="345"/>
      <c r="AF30" s="340"/>
      <c r="AG30" s="340"/>
      <c r="AH30" s="340"/>
      <c r="AI30" s="340"/>
      <c r="AJ30" s="342"/>
      <c r="AK30" s="345"/>
      <c r="AL30" s="342"/>
      <c r="AM30" s="340"/>
      <c r="AN30" s="250"/>
      <c r="AO30" s="342"/>
      <c r="AP30" s="344"/>
      <c r="AQ30" s="342"/>
      <c r="AR30" s="344"/>
      <c r="AS30" s="342"/>
      <c r="AT30" s="342"/>
      <c r="AU30" s="342"/>
      <c r="AV30" s="344"/>
      <c r="AW30" s="342"/>
      <c r="AX30" s="342"/>
      <c r="AY30" s="342"/>
      <c r="AZ30" s="344"/>
      <c r="BA30" s="346"/>
      <c r="BB30" s="346"/>
      <c r="BC30" s="346"/>
      <c r="BD30" s="346"/>
      <c r="BE30" s="345"/>
      <c r="BF30" s="345"/>
      <c r="BG30" s="345">
        <v>2</v>
      </c>
      <c r="BH30" s="345"/>
      <c r="BI30" s="345"/>
      <c r="BJ30" s="345"/>
      <c r="BK30" s="340"/>
      <c r="BL30" s="345"/>
      <c r="BM30" s="345">
        <v>1</v>
      </c>
      <c r="BN30" s="347"/>
    </row>
    <row r="31" spans="1:66" ht="12">
      <c r="A31" s="340">
        <f t="shared" si="0"/>
        <v>20</v>
      </c>
      <c r="B31" s="341" t="s">
        <v>51</v>
      </c>
      <c r="C31" s="340">
        <v>81</v>
      </c>
      <c r="D31" s="340"/>
      <c r="E31" s="342">
        <f t="shared" si="1"/>
        <v>6.4799999999999995</v>
      </c>
      <c r="F31" s="342">
        <f t="shared" si="2"/>
        <v>2.16</v>
      </c>
      <c r="G31" s="342"/>
      <c r="H31" s="343"/>
      <c r="I31" s="342"/>
      <c r="J31" s="344"/>
      <c r="K31" s="342"/>
      <c r="L31" s="343">
        <v>0.018</v>
      </c>
      <c r="M31" s="344">
        <f>L31*360</f>
        <v>6.4799999999999995</v>
      </c>
      <c r="N31" s="343">
        <v>0.006</v>
      </c>
      <c r="O31" s="342">
        <f t="shared" si="4"/>
        <v>2.16</v>
      </c>
      <c r="P31" s="344"/>
      <c r="Q31" s="344"/>
      <c r="R31" s="344"/>
      <c r="S31" s="344"/>
      <c r="T31" s="344"/>
      <c r="U31" s="343"/>
      <c r="V31" s="342"/>
      <c r="W31" s="348"/>
      <c r="X31" s="342"/>
      <c r="Y31" s="345"/>
      <c r="Z31" s="340"/>
      <c r="AA31" s="340"/>
      <c r="AB31" s="340"/>
      <c r="AC31" s="340"/>
      <c r="AD31" s="340"/>
      <c r="AE31" s="345"/>
      <c r="AF31" s="340"/>
      <c r="AG31" s="340"/>
      <c r="AH31" s="340"/>
      <c r="AI31" s="340"/>
      <c r="AJ31" s="342"/>
      <c r="AK31" s="345"/>
      <c r="AL31" s="342"/>
      <c r="AM31" s="340"/>
      <c r="AN31" s="250"/>
      <c r="AO31" s="342"/>
      <c r="AP31" s="344"/>
      <c r="AQ31" s="342"/>
      <c r="AR31" s="344"/>
      <c r="AS31" s="342"/>
      <c r="AT31" s="342"/>
      <c r="AU31" s="342"/>
      <c r="AV31" s="344"/>
      <c r="AW31" s="342"/>
      <c r="AX31" s="342"/>
      <c r="AY31" s="342"/>
      <c r="AZ31" s="344"/>
      <c r="BA31" s="346"/>
      <c r="BB31" s="346"/>
      <c r="BC31" s="346"/>
      <c r="BD31" s="346"/>
      <c r="BE31" s="345"/>
      <c r="BF31" s="345"/>
      <c r="BG31" s="345">
        <v>2</v>
      </c>
      <c r="BH31" s="345"/>
      <c r="BI31" s="345"/>
      <c r="BJ31" s="345"/>
      <c r="BK31" s="340"/>
      <c r="BL31" s="345"/>
      <c r="BM31" s="345">
        <v>1</v>
      </c>
      <c r="BN31" s="347"/>
    </row>
    <row r="32" spans="1:66" ht="12">
      <c r="A32" s="340">
        <f t="shared" si="0"/>
        <v>21</v>
      </c>
      <c r="B32" s="341" t="s">
        <v>51</v>
      </c>
      <c r="C32" s="340">
        <v>83</v>
      </c>
      <c r="D32" s="340" t="s">
        <v>41</v>
      </c>
      <c r="E32" s="342">
        <f t="shared" si="1"/>
        <v>0</v>
      </c>
      <c r="F32" s="342">
        <f t="shared" si="2"/>
        <v>0</v>
      </c>
      <c r="G32" s="342"/>
      <c r="H32" s="343"/>
      <c r="I32" s="342"/>
      <c r="J32" s="344"/>
      <c r="K32" s="342"/>
      <c r="L32" s="343"/>
      <c r="M32" s="342"/>
      <c r="N32" s="343"/>
      <c r="O32" s="342"/>
      <c r="P32" s="344"/>
      <c r="Q32" s="344"/>
      <c r="R32" s="344"/>
      <c r="S32" s="344"/>
      <c r="T32" s="344"/>
      <c r="U32" s="343"/>
      <c r="V32" s="342"/>
      <c r="W32" s="348"/>
      <c r="X32" s="342"/>
      <c r="Y32" s="345"/>
      <c r="Z32" s="340"/>
      <c r="AA32" s="340"/>
      <c r="AB32" s="340"/>
      <c r="AC32" s="340"/>
      <c r="AD32" s="340"/>
      <c r="AE32" s="345"/>
      <c r="AF32" s="340"/>
      <c r="AG32" s="340"/>
      <c r="AH32" s="340"/>
      <c r="AI32" s="340"/>
      <c r="AJ32" s="342"/>
      <c r="AK32" s="345"/>
      <c r="AL32" s="342"/>
      <c r="AM32" s="340"/>
      <c r="AN32" s="250"/>
      <c r="AO32" s="342"/>
      <c r="AP32" s="344"/>
      <c r="AQ32" s="342"/>
      <c r="AR32" s="344"/>
      <c r="AS32" s="342"/>
      <c r="AT32" s="342"/>
      <c r="AU32" s="342"/>
      <c r="AV32" s="344"/>
      <c r="AW32" s="342"/>
      <c r="AX32" s="342"/>
      <c r="AY32" s="342"/>
      <c r="AZ32" s="344"/>
      <c r="BA32" s="346"/>
      <c r="BB32" s="346"/>
      <c r="BC32" s="346"/>
      <c r="BD32" s="346"/>
      <c r="BE32" s="345"/>
      <c r="BF32" s="345"/>
      <c r="BG32" s="345">
        <v>1</v>
      </c>
      <c r="BH32" s="345">
        <v>1</v>
      </c>
      <c r="BI32" s="345"/>
      <c r="BJ32" s="345"/>
      <c r="BK32" s="340"/>
      <c r="BL32" s="345">
        <v>1</v>
      </c>
      <c r="BM32" s="345">
        <v>1</v>
      </c>
      <c r="BN32" s="347">
        <v>1</v>
      </c>
    </row>
    <row r="33" spans="1:66" ht="24">
      <c r="A33" s="340">
        <f t="shared" si="0"/>
        <v>22</v>
      </c>
      <c r="B33" s="341" t="s">
        <v>51</v>
      </c>
      <c r="C33" s="340">
        <v>83</v>
      </c>
      <c r="D33" s="340"/>
      <c r="E33" s="342">
        <f t="shared" si="1"/>
        <v>136.293</v>
      </c>
      <c r="F33" s="342">
        <f t="shared" si="2"/>
        <v>136.725</v>
      </c>
      <c r="G33" s="342"/>
      <c r="H33" s="343">
        <v>0.007</v>
      </c>
      <c r="I33" s="342">
        <f>H33*1450</f>
        <v>10.15</v>
      </c>
      <c r="J33" s="343">
        <v>0.007</v>
      </c>
      <c r="K33" s="342">
        <f>J33*1450</f>
        <v>10.15</v>
      </c>
      <c r="L33" s="343">
        <v>0.0612</v>
      </c>
      <c r="M33" s="344">
        <f>L33*360</f>
        <v>22.032</v>
      </c>
      <c r="N33" s="343">
        <v>0.0624</v>
      </c>
      <c r="O33" s="342">
        <f>N33*360</f>
        <v>22.464</v>
      </c>
      <c r="P33" s="344"/>
      <c r="Q33" s="344"/>
      <c r="R33" s="344"/>
      <c r="S33" s="344"/>
      <c r="T33" s="344"/>
      <c r="U33" s="343"/>
      <c r="V33" s="342"/>
      <c r="W33" s="348"/>
      <c r="X33" s="342"/>
      <c r="Y33" s="345"/>
      <c r="Z33" s="340"/>
      <c r="AA33" s="340">
        <v>1</v>
      </c>
      <c r="AB33" s="340">
        <v>1</v>
      </c>
      <c r="AC33" s="340"/>
      <c r="AD33" s="340"/>
      <c r="AE33" s="345"/>
      <c r="AF33" s="340"/>
      <c r="AG33" s="340">
        <v>2</v>
      </c>
      <c r="AH33" s="340">
        <v>2.1</v>
      </c>
      <c r="AI33" s="340"/>
      <c r="AJ33" s="342"/>
      <c r="AK33" s="345"/>
      <c r="AL33" s="342"/>
      <c r="AM33" s="340"/>
      <c r="AN33" s="250" t="s">
        <v>142</v>
      </c>
      <c r="AO33" s="342">
        <v>104.111</v>
      </c>
      <c r="AP33" s="250" t="s">
        <v>142</v>
      </c>
      <c r="AQ33" s="342">
        <v>104.111</v>
      </c>
      <c r="AR33" s="344"/>
      <c r="AS33" s="342"/>
      <c r="AT33" s="342"/>
      <c r="AU33" s="342"/>
      <c r="AV33" s="344"/>
      <c r="AW33" s="342"/>
      <c r="AX33" s="342"/>
      <c r="AY33" s="342"/>
      <c r="AZ33" s="344"/>
      <c r="BA33" s="346"/>
      <c r="BB33" s="346"/>
      <c r="BC33" s="346"/>
      <c r="BD33" s="346"/>
      <c r="BE33" s="345">
        <v>1</v>
      </c>
      <c r="BF33" s="345">
        <v>1</v>
      </c>
      <c r="BG33" s="345">
        <v>4</v>
      </c>
      <c r="BH33" s="345">
        <v>4</v>
      </c>
      <c r="BI33" s="345"/>
      <c r="BJ33" s="345"/>
      <c r="BK33" s="340"/>
      <c r="BL33" s="345">
        <v>1</v>
      </c>
      <c r="BM33" s="345">
        <v>1</v>
      </c>
      <c r="BN33" s="347">
        <v>1</v>
      </c>
    </row>
    <row r="34" spans="1:66" s="355" customFormat="1" ht="12">
      <c r="A34" s="349">
        <f>A33</f>
        <v>22</v>
      </c>
      <c r="B34" s="350" t="s">
        <v>175</v>
      </c>
      <c r="C34" s="351"/>
      <c r="D34" s="351"/>
      <c r="E34" s="352">
        <f aca="true" t="shared" si="5" ref="E34:AB34">SUM(E12:E33)</f>
        <v>333.544</v>
      </c>
      <c r="F34" s="352">
        <f t="shared" si="5"/>
        <v>365.6721</v>
      </c>
      <c r="G34" s="352">
        <f t="shared" si="5"/>
        <v>0</v>
      </c>
      <c r="H34" s="353">
        <f t="shared" si="5"/>
        <v>0.015</v>
      </c>
      <c r="I34" s="352">
        <f>SUM(I12:I33)</f>
        <v>21.75</v>
      </c>
      <c r="J34" s="354">
        <f t="shared" si="5"/>
        <v>0.02</v>
      </c>
      <c r="K34" s="354">
        <f t="shared" si="5"/>
        <v>29</v>
      </c>
      <c r="L34" s="353">
        <f t="shared" si="5"/>
        <v>0.2786</v>
      </c>
      <c r="M34" s="352">
        <f>SUM(M12:M33)</f>
        <v>100.296</v>
      </c>
      <c r="N34" s="353">
        <f t="shared" si="5"/>
        <v>0.37149999999999994</v>
      </c>
      <c r="O34" s="354">
        <f t="shared" si="5"/>
        <v>133.74</v>
      </c>
      <c r="P34" s="354">
        <f t="shared" si="5"/>
        <v>0</v>
      </c>
      <c r="Q34" s="354"/>
      <c r="R34" s="354">
        <f t="shared" si="5"/>
        <v>0</v>
      </c>
      <c r="S34" s="354">
        <f t="shared" si="5"/>
        <v>0</v>
      </c>
      <c r="T34" s="354">
        <f t="shared" si="5"/>
        <v>0</v>
      </c>
      <c r="U34" s="353">
        <f t="shared" si="5"/>
        <v>0.024</v>
      </c>
      <c r="V34" s="352">
        <f>SUM(V12:V33)</f>
        <v>25.128</v>
      </c>
      <c r="W34" s="353">
        <f t="shared" si="5"/>
        <v>0.0213</v>
      </c>
      <c r="X34" s="354">
        <f t="shared" si="5"/>
        <v>22.301099999999998</v>
      </c>
      <c r="Y34" s="349">
        <f t="shared" si="5"/>
        <v>0</v>
      </c>
      <c r="Z34" s="349">
        <f t="shared" si="5"/>
        <v>0</v>
      </c>
      <c r="AA34" s="349">
        <f t="shared" si="5"/>
        <v>27</v>
      </c>
      <c r="AB34" s="349">
        <f t="shared" si="5"/>
        <v>27</v>
      </c>
      <c r="AC34" s="349"/>
      <c r="AD34" s="349"/>
      <c r="AE34" s="349">
        <f aca="true" t="shared" si="6" ref="AE34:BN34">SUM(AE12:AE33)</f>
        <v>0</v>
      </c>
      <c r="AF34" s="354">
        <f t="shared" si="6"/>
        <v>0</v>
      </c>
      <c r="AG34" s="349">
        <f>SUM(AG12:AG33)</f>
        <v>19</v>
      </c>
      <c r="AH34" s="349">
        <f t="shared" si="6"/>
        <v>23.500000000000004</v>
      </c>
      <c r="AI34" s="349">
        <f t="shared" si="6"/>
        <v>0</v>
      </c>
      <c r="AJ34" s="352">
        <f>SUM(AJ12:AJ33)</f>
        <v>0</v>
      </c>
      <c r="AK34" s="349">
        <f t="shared" si="6"/>
        <v>0</v>
      </c>
      <c r="AL34" s="354">
        <f t="shared" si="6"/>
        <v>0</v>
      </c>
      <c r="AM34" s="354">
        <f t="shared" si="6"/>
        <v>0</v>
      </c>
      <c r="AN34" s="354">
        <f t="shared" si="6"/>
        <v>0</v>
      </c>
      <c r="AO34" s="352">
        <f>SUM(AO12:AO33)</f>
        <v>186.37</v>
      </c>
      <c r="AP34" s="354">
        <f t="shared" si="6"/>
        <v>0</v>
      </c>
      <c r="AQ34" s="354">
        <f t="shared" si="6"/>
        <v>180.631</v>
      </c>
      <c r="AR34" s="354">
        <f t="shared" si="6"/>
        <v>0</v>
      </c>
      <c r="AS34" s="354">
        <f t="shared" si="6"/>
        <v>0</v>
      </c>
      <c r="AT34" s="354">
        <f t="shared" si="6"/>
        <v>0</v>
      </c>
      <c r="AU34" s="354">
        <f t="shared" si="6"/>
        <v>0</v>
      </c>
      <c r="AV34" s="354">
        <f t="shared" si="6"/>
        <v>0</v>
      </c>
      <c r="AW34" s="352"/>
      <c r="AX34" s="354">
        <f t="shared" si="6"/>
        <v>0</v>
      </c>
      <c r="AY34" s="354">
        <f t="shared" si="6"/>
        <v>0</v>
      </c>
      <c r="AZ34" s="354">
        <f t="shared" si="6"/>
        <v>0</v>
      </c>
      <c r="BA34" s="352"/>
      <c r="BB34" s="354">
        <f t="shared" si="6"/>
        <v>0</v>
      </c>
      <c r="BC34" s="354">
        <f t="shared" si="6"/>
        <v>0</v>
      </c>
      <c r="BD34" s="354">
        <f t="shared" si="6"/>
        <v>0</v>
      </c>
      <c r="BE34" s="349">
        <f t="shared" si="6"/>
        <v>1</v>
      </c>
      <c r="BF34" s="349">
        <f t="shared" si="6"/>
        <v>1</v>
      </c>
      <c r="BG34" s="349">
        <f t="shared" si="6"/>
        <v>72</v>
      </c>
      <c r="BH34" s="349">
        <f t="shared" si="6"/>
        <v>62</v>
      </c>
      <c r="BI34" s="349">
        <f t="shared" si="6"/>
        <v>0</v>
      </c>
      <c r="BJ34" s="349">
        <f t="shared" si="6"/>
        <v>0</v>
      </c>
      <c r="BK34" s="349">
        <f t="shared" si="6"/>
        <v>0</v>
      </c>
      <c r="BL34" s="349">
        <f t="shared" si="6"/>
        <v>17</v>
      </c>
      <c r="BM34" s="349">
        <f t="shared" si="6"/>
        <v>22</v>
      </c>
      <c r="BN34" s="349">
        <f t="shared" si="6"/>
        <v>17</v>
      </c>
    </row>
    <row r="35" spans="1:66" s="361" customFormat="1" ht="12">
      <c r="A35" s="356">
        <v>1</v>
      </c>
      <c r="B35" s="357" t="s">
        <v>53</v>
      </c>
      <c r="C35" s="356">
        <v>6</v>
      </c>
      <c r="D35" s="356"/>
      <c r="E35" s="342">
        <f aca="true" t="shared" si="7" ref="E35:E59">I35+M35+Q35+V35+Z35+AD35+AJ35+AO35+AS35+AW35+BA35</f>
        <v>0</v>
      </c>
      <c r="F35" s="342">
        <f aca="true" t="shared" si="8" ref="F35:F59">K35+O35+S35+X35+AF35+AL35+AQ35+AU35+AY35+BC35</f>
        <v>0</v>
      </c>
      <c r="G35" s="356"/>
      <c r="H35" s="344"/>
      <c r="I35" s="344"/>
      <c r="J35" s="344"/>
      <c r="K35" s="344"/>
      <c r="L35" s="343"/>
      <c r="M35" s="344"/>
      <c r="N35" s="343"/>
      <c r="O35" s="344"/>
      <c r="P35" s="358"/>
      <c r="Q35" s="358"/>
      <c r="R35" s="358"/>
      <c r="S35" s="358"/>
      <c r="T35" s="358"/>
      <c r="U35" s="343"/>
      <c r="V35" s="344"/>
      <c r="W35" s="344"/>
      <c r="X35" s="344"/>
      <c r="Y35" s="345"/>
      <c r="Z35" s="344"/>
      <c r="AA35" s="344"/>
      <c r="AB35" s="345"/>
      <c r="AC35" s="344"/>
      <c r="AD35" s="344"/>
      <c r="AE35" s="345"/>
      <c r="AF35" s="344"/>
      <c r="AG35" s="344"/>
      <c r="AH35" s="345"/>
      <c r="AI35" s="344"/>
      <c r="AJ35" s="344"/>
      <c r="AK35" s="345"/>
      <c r="AL35" s="344"/>
      <c r="AM35" s="344"/>
      <c r="AN35" s="344"/>
      <c r="AO35" s="344"/>
      <c r="AP35" s="344"/>
      <c r="AQ35" s="344"/>
      <c r="AR35" s="356"/>
      <c r="AS35" s="344"/>
      <c r="AT35" s="344"/>
      <c r="AU35" s="344"/>
      <c r="AV35" s="356"/>
      <c r="AW35" s="356"/>
      <c r="AX35" s="356"/>
      <c r="AY35" s="356"/>
      <c r="AZ35" s="344"/>
      <c r="BA35" s="344"/>
      <c r="BB35" s="344"/>
      <c r="BC35" s="344"/>
      <c r="BD35" s="359"/>
      <c r="BE35" s="360"/>
      <c r="BF35" s="360"/>
      <c r="BG35" s="360">
        <v>1</v>
      </c>
      <c r="BH35" s="360">
        <v>1</v>
      </c>
      <c r="BI35" s="345"/>
      <c r="BJ35" s="345"/>
      <c r="BK35" s="356"/>
      <c r="BL35" s="345"/>
      <c r="BM35" s="345">
        <v>1</v>
      </c>
      <c r="BN35" s="347">
        <v>1</v>
      </c>
    </row>
    <row r="36" spans="1:66" s="361" customFormat="1" ht="12">
      <c r="A36" s="356">
        <f>A35+1</f>
        <v>2</v>
      </c>
      <c r="B36" s="357" t="s">
        <v>53</v>
      </c>
      <c r="C36" s="356">
        <v>8</v>
      </c>
      <c r="D36" s="356"/>
      <c r="E36" s="342">
        <f t="shared" si="7"/>
        <v>2.16</v>
      </c>
      <c r="F36" s="342">
        <f t="shared" si="8"/>
        <v>4.32</v>
      </c>
      <c r="G36" s="356"/>
      <c r="H36" s="344"/>
      <c r="I36" s="344"/>
      <c r="J36" s="344"/>
      <c r="K36" s="344"/>
      <c r="L36" s="343">
        <v>0.006</v>
      </c>
      <c r="M36" s="344">
        <f>L36*360</f>
        <v>2.16</v>
      </c>
      <c r="N36" s="343">
        <v>0.012</v>
      </c>
      <c r="O36" s="342">
        <f>N36*360</f>
        <v>4.32</v>
      </c>
      <c r="P36" s="358"/>
      <c r="Q36" s="358"/>
      <c r="R36" s="358"/>
      <c r="S36" s="358"/>
      <c r="T36" s="358"/>
      <c r="U36" s="343"/>
      <c r="V36" s="344"/>
      <c r="W36" s="344"/>
      <c r="X36" s="344"/>
      <c r="Y36" s="345"/>
      <c r="Z36" s="344"/>
      <c r="AA36" s="345">
        <v>4</v>
      </c>
      <c r="AB36" s="345">
        <v>4</v>
      </c>
      <c r="AC36" s="344"/>
      <c r="AD36" s="344"/>
      <c r="AE36" s="345"/>
      <c r="AF36" s="344"/>
      <c r="AG36" s="345">
        <v>10</v>
      </c>
      <c r="AH36" s="345">
        <v>10</v>
      </c>
      <c r="AI36" s="344"/>
      <c r="AJ36" s="344"/>
      <c r="AK36" s="345"/>
      <c r="AL36" s="344"/>
      <c r="AM36" s="344"/>
      <c r="AN36" s="344"/>
      <c r="AO36" s="344"/>
      <c r="AP36" s="344"/>
      <c r="AQ36" s="344"/>
      <c r="AR36" s="356"/>
      <c r="AS36" s="344"/>
      <c r="AT36" s="344"/>
      <c r="AU36" s="344"/>
      <c r="AV36" s="356"/>
      <c r="AW36" s="356"/>
      <c r="AX36" s="356"/>
      <c r="AY36" s="356"/>
      <c r="AZ36" s="344"/>
      <c r="BA36" s="344"/>
      <c r="BB36" s="344"/>
      <c r="BC36" s="344"/>
      <c r="BD36" s="359"/>
      <c r="BE36" s="360">
        <v>2</v>
      </c>
      <c r="BF36" s="360">
        <v>2</v>
      </c>
      <c r="BG36" s="360">
        <v>6</v>
      </c>
      <c r="BH36" s="360">
        <v>6</v>
      </c>
      <c r="BI36" s="345"/>
      <c r="BJ36" s="345"/>
      <c r="BK36" s="356"/>
      <c r="BL36" s="345"/>
      <c r="BM36" s="345">
        <v>1</v>
      </c>
      <c r="BN36" s="347">
        <v>1</v>
      </c>
    </row>
    <row r="37" spans="1:66" s="361" customFormat="1" ht="12">
      <c r="A37" s="356">
        <f aca="true" t="shared" si="9" ref="A37:A59">A36+1</f>
        <v>3</v>
      </c>
      <c r="B37" s="357" t="s">
        <v>53</v>
      </c>
      <c r="C37" s="356">
        <v>12</v>
      </c>
      <c r="D37" s="356"/>
      <c r="E37" s="342">
        <f t="shared" si="7"/>
        <v>0</v>
      </c>
      <c r="F37" s="342">
        <f t="shared" si="8"/>
        <v>0</v>
      </c>
      <c r="G37" s="356"/>
      <c r="H37" s="344"/>
      <c r="I37" s="344"/>
      <c r="J37" s="344"/>
      <c r="K37" s="344"/>
      <c r="L37" s="343"/>
      <c r="M37" s="344"/>
      <c r="N37" s="343"/>
      <c r="O37" s="344"/>
      <c r="P37" s="358"/>
      <c r="Q37" s="358"/>
      <c r="R37" s="358"/>
      <c r="S37" s="358"/>
      <c r="T37" s="358"/>
      <c r="U37" s="343"/>
      <c r="V37" s="344"/>
      <c r="W37" s="344"/>
      <c r="X37" s="344"/>
      <c r="Y37" s="345"/>
      <c r="Z37" s="344"/>
      <c r="AA37" s="345">
        <v>3</v>
      </c>
      <c r="AB37" s="345">
        <v>3</v>
      </c>
      <c r="AC37" s="344"/>
      <c r="AD37" s="344"/>
      <c r="AE37" s="345"/>
      <c r="AF37" s="344"/>
      <c r="AG37" s="345">
        <v>9</v>
      </c>
      <c r="AH37" s="345"/>
      <c r="AI37" s="344"/>
      <c r="AJ37" s="344"/>
      <c r="AK37" s="345"/>
      <c r="AL37" s="344"/>
      <c r="AM37" s="344"/>
      <c r="AN37" s="344"/>
      <c r="AO37" s="342"/>
      <c r="AP37" s="344"/>
      <c r="AQ37" s="342"/>
      <c r="AR37" s="356"/>
      <c r="AS37" s="344"/>
      <c r="AT37" s="344"/>
      <c r="AU37" s="344"/>
      <c r="AV37" s="356"/>
      <c r="AW37" s="356"/>
      <c r="AX37" s="356"/>
      <c r="AY37" s="356"/>
      <c r="AZ37" s="344"/>
      <c r="BA37" s="344"/>
      <c r="BB37" s="344"/>
      <c r="BC37" s="344"/>
      <c r="BD37" s="359"/>
      <c r="BE37" s="360">
        <v>1</v>
      </c>
      <c r="BF37" s="360">
        <v>1</v>
      </c>
      <c r="BG37" s="360">
        <v>2</v>
      </c>
      <c r="BH37" s="360">
        <v>2</v>
      </c>
      <c r="BI37" s="345"/>
      <c r="BJ37" s="345"/>
      <c r="BK37" s="356"/>
      <c r="BL37" s="345"/>
      <c r="BM37" s="345">
        <v>1</v>
      </c>
      <c r="BN37" s="347">
        <v>1</v>
      </c>
    </row>
    <row r="38" spans="1:66" s="361" customFormat="1" ht="12">
      <c r="A38" s="356">
        <f t="shared" si="9"/>
        <v>4</v>
      </c>
      <c r="B38" s="357" t="s">
        <v>53</v>
      </c>
      <c r="C38" s="356">
        <v>14</v>
      </c>
      <c r="D38" s="356"/>
      <c r="E38" s="342">
        <f t="shared" si="7"/>
        <v>3.2399999999999998</v>
      </c>
      <c r="F38" s="342">
        <f t="shared" si="8"/>
        <v>4.32</v>
      </c>
      <c r="G38" s="356"/>
      <c r="H38" s="344"/>
      <c r="I38" s="344"/>
      <c r="J38" s="344"/>
      <c r="K38" s="344"/>
      <c r="L38" s="343">
        <v>0.009</v>
      </c>
      <c r="M38" s="344">
        <f>L38*360</f>
        <v>3.2399999999999998</v>
      </c>
      <c r="N38" s="343">
        <v>0.012</v>
      </c>
      <c r="O38" s="342">
        <f>N38*360</f>
        <v>4.32</v>
      </c>
      <c r="P38" s="358"/>
      <c r="Q38" s="358"/>
      <c r="R38" s="358"/>
      <c r="S38" s="358"/>
      <c r="T38" s="358"/>
      <c r="U38" s="343"/>
      <c r="V38" s="344"/>
      <c r="W38" s="344"/>
      <c r="X38" s="344"/>
      <c r="Y38" s="345"/>
      <c r="Z38" s="344"/>
      <c r="AA38" s="345">
        <v>4</v>
      </c>
      <c r="AB38" s="345">
        <v>4</v>
      </c>
      <c r="AC38" s="344"/>
      <c r="AD38" s="344"/>
      <c r="AE38" s="345"/>
      <c r="AF38" s="344"/>
      <c r="AG38" s="345">
        <v>13</v>
      </c>
      <c r="AH38" s="345"/>
      <c r="AI38" s="344"/>
      <c r="AJ38" s="344"/>
      <c r="AK38" s="345"/>
      <c r="AL38" s="344"/>
      <c r="AM38" s="344"/>
      <c r="AN38" s="344"/>
      <c r="AO38" s="344"/>
      <c r="AP38" s="344"/>
      <c r="AQ38" s="344"/>
      <c r="AR38" s="356"/>
      <c r="AS38" s="344"/>
      <c r="AT38" s="344"/>
      <c r="AU38" s="344"/>
      <c r="AV38" s="356"/>
      <c r="AW38" s="356"/>
      <c r="AX38" s="356"/>
      <c r="AY38" s="356"/>
      <c r="AZ38" s="344"/>
      <c r="BA38" s="344"/>
      <c r="BB38" s="344"/>
      <c r="BC38" s="344"/>
      <c r="BD38" s="359"/>
      <c r="BE38" s="360">
        <v>2</v>
      </c>
      <c r="BF38" s="360">
        <v>2</v>
      </c>
      <c r="BG38" s="360">
        <v>2</v>
      </c>
      <c r="BH38" s="360">
        <v>2</v>
      </c>
      <c r="BI38" s="345"/>
      <c r="BJ38" s="345"/>
      <c r="BK38" s="356"/>
      <c r="BL38" s="345"/>
      <c r="BM38" s="345">
        <v>1</v>
      </c>
      <c r="BN38" s="347">
        <v>1</v>
      </c>
    </row>
    <row r="39" spans="1:66" s="361" customFormat="1" ht="12">
      <c r="A39" s="356">
        <f t="shared" si="9"/>
        <v>5</v>
      </c>
      <c r="B39" s="357" t="s">
        <v>53</v>
      </c>
      <c r="C39" s="356">
        <v>16</v>
      </c>
      <c r="D39" s="356"/>
      <c r="E39" s="342">
        <f t="shared" si="7"/>
        <v>36.721000000000004</v>
      </c>
      <c r="F39" s="342">
        <f t="shared" si="8"/>
        <v>36.721000000000004</v>
      </c>
      <c r="G39" s="356"/>
      <c r="H39" s="344"/>
      <c r="I39" s="344"/>
      <c r="J39" s="344"/>
      <c r="K39" s="344"/>
      <c r="L39" s="343"/>
      <c r="M39" s="344"/>
      <c r="N39" s="343"/>
      <c r="O39" s="344"/>
      <c r="P39" s="358"/>
      <c r="Q39" s="358"/>
      <c r="R39" s="358"/>
      <c r="S39" s="358"/>
      <c r="T39" s="358"/>
      <c r="U39" s="343"/>
      <c r="V39" s="344"/>
      <c r="W39" s="344"/>
      <c r="X39" s="344"/>
      <c r="Y39" s="345"/>
      <c r="Z39" s="344"/>
      <c r="AA39" s="345">
        <v>3</v>
      </c>
      <c r="AB39" s="345">
        <v>3</v>
      </c>
      <c r="AC39" s="344"/>
      <c r="AD39" s="344"/>
      <c r="AE39" s="345"/>
      <c r="AF39" s="344"/>
      <c r="AG39" s="345">
        <v>11</v>
      </c>
      <c r="AH39" s="345"/>
      <c r="AI39" s="344"/>
      <c r="AJ39" s="344"/>
      <c r="AK39" s="345"/>
      <c r="AL39" s="344"/>
      <c r="AM39" s="344"/>
      <c r="AN39" s="344">
        <v>0.01</v>
      </c>
      <c r="AO39" s="344">
        <v>9.72</v>
      </c>
      <c r="AP39" s="344">
        <v>0.01</v>
      </c>
      <c r="AQ39" s="344">
        <v>9.72</v>
      </c>
      <c r="AR39" s="356" t="s">
        <v>143</v>
      </c>
      <c r="AS39" s="344">
        <v>27.001</v>
      </c>
      <c r="AT39" s="356" t="s">
        <v>143</v>
      </c>
      <c r="AU39" s="344">
        <v>27.001</v>
      </c>
      <c r="AV39" s="356"/>
      <c r="AW39" s="356"/>
      <c r="AX39" s="356"/>
      <c r="AY39" s="356"/>
      <c r="AZ39" s="344"/>
      <c r="BA39" s="344"/>
      <c r="BB39" s="344"/>
      <c r="BC39" s="344"/>
      <c r="BD39" s="359"/>
      <c r="BE39" s="360"/>
      <c r="BF39" s="360"/>
      <c r="BG39" s="360">
        <v>3</v>
      </c>
      <c r="BH39" s="360">
        <v>3</v>
      </c>
      <c r="BI39" s="345"/>
      <c r="BJ39" s="345"/>
      <c r="BK39" s="356"/>
      <c r="BL39" s="345"/>
      <c r="BM39" s="345">
        <v>1</v>
      </c>
      <c r="BN39" s="347">
        <v>1</v>
      </c>
    </row>
    <row r="40" spans="1:66" s="361" customFormat="1" ht="12">
      <c r="A40" s="356">
        <f t="shared" si="9"/>
        <v>6</v>
      </c>
      <c r="B40" s="357" t="s">
        <v>53</v>
      </c>
      <c r="C40" s="356">
        <v>18</v>
      </c>
      <c r="D40" s="356"/>
      <c r="E40" s="342">
        <f t="shared" si="7"/>
        <v>0</v>
      </c>
      <c r="F40" s="342">
        <f t="shared" si="8"/>
        <v>0</v>
      </c>
      <c r="G40" s="356"/>
      <c r="H40" s="344"/>
      <c r="I40" s="344"/>
      <c r="J40" s="344"/>
      <c r="K40" s="344"/>
      <c r="L40" s="343"/>
      <c r="M40" s="344"/>
      <c r="N40" s="343"/>
      <c r="O40" s="344"/>
      <c r="P40" s="358"/>
      <c r="Q40" s="358"/>
      <c r="R40" s="358"/>
      <c r="S40" s="358"/>
      <c r="T40" s="358"/>
      <c r="U40" s="343"/>
      <c r="V40" s="344"/>
      <c r="W40" s="344"/>
      <c r="X40" s="344"/>
      <c r="Y40" s="345"/>
      <c r="Z40" s="344"/>
      <c r="AA40" s="345"/>
      <c r="AB40" s="345"/>
      <c r="AC40" s="344"/>
      <c r="AD40" s="344"/>
      <c r="AE40" s="345"/>
      <c r="AF40" s="344"/>
      <c r="AG40" s="345"/>
      <c r="AH40" s="345"/>
      <c r="AI40" s="344"/>
      <c r="AJ40" s="344"/>
      <c r="AK40" s="345"/>
      <c r="AL40" s="344"/>
      <c r="AM40" s="344"/>
      <c r="AN40" s="344"/>
      <c r="AO40" s="344"/>
      <c r="AP40" s="344"/>
      <c r="AQ40" s="344"/>
      <c r="AR40" s="356"/>
      <c r="AS40" s="344"/>
      <c r="AT40" s="344"/>
      <c r="AU40" s="344"/>
      <c r="AV40" s="356"/>
      <c r="AW40" s="356"/>
      <c r="AX40" s="356"/>
      <c r="AY40" s="356"/>
      <c r="AZ40" s="344"/>
      <c r="BA40" s="344"/>
      <c r="BB40" s="344"/>
      <c r="BC40" s="344"/>
      <c r="BD40" s="359"/>
      <c r="BE40" s="360"/>
      <c r="BF40" s="360"/>
      <c r="BG40" s="360">
        <v>1</v>
      </c>
      <c r="BH40" s="360">
        <v>1</v>
      </c>
      <c r="BI40" s="345"/>
      <c r="BJ40" s="345"/>
      <c r="BK40" s="356"/>
      <c r="BL40" s="345"/>
      <c r="BM40" s="345">
        <v>1</v>
      </c>
      <c r="BN40" s="347">
        <v>1</v>
      </c>
    </row>
    <row r="41" spans="1:66" s="361" customFormat="1" ht="12">
      <c r="A41" s="356">
        <f t="shared" si="9"/>
        <v>7</v>
      </c>
      <c r="B41" s="357" t="s">
        <v>57</v>
      </c>
      <c r="C41" s="356">
        <v>36</v>
      </c>
      <c r="D41" s="356"/>
      <c r="E41" s="342">
        <f t="shared" si="7"/>
        <v>0</v>
      </c>
      <c r="F41" s="342">
        <f t="shared" si="8"/>
        <v>0</v>
      </c>
      <c r="G41" s="356"/>
      <c r="H41" s="344"/>
      <c r="I41" s="344"/>
      <c r="J41" s="344"/>
      <c r="K41" s="344"/>
      <c r="L41" s="343"/>
      <c r="M41" s="344"/>
      <c r="N41" s="343"/>
      <c r="O41" s="344"/>
      <c r="P41" s="358"/>
      <c r="Q41" s="358"/>
      <c r="R41" s="358"/>
      <c r="S41" s="358"/>
      <c r="T41" s="358"/>
      <c r="U41" s="343"/>
      <c r="V41" s="344"/>
      <c r="W41" s="344"/>
      <c r="X41" s="344"/>
      <c r="Y41" s="345"/>
      <c r="Z41" s="344"/>
      <c r="AA41" s="345"/>
      <c r="AB41" s="345"/>
      <c r="AC41" s="344"/>
      <c r="AD41" s="344"/>
      <c r="AE41" s="345"/>
      <c r="AF41" s="344"/>
      <c r="AG41" s="345"/>
      <c r="AH41" s="345"/>
      <c r="AI41" s="344"/>
      <c r="AJ41" s="344"/>
      <c r="AK41" s="345"/>
      <c r="AL41" s="344"/>
      <c r="AM41" s="344"/>
      <c r="AN41" s="344"/>
      <c r="AO41" s="344"/>
      <c r="AP41" s="344"/>
      <c r="AQ41" s="344"/>
      <c r="AR41" s="356"/>
      <c r="AS41" s="344"/>
      <c r="AT41" s="344"/>
      <c r="AU41" s="344"/>
      <c r="AV41" s="356"/>
      <c r="AW41" s="356"/>
      <c r="AX41" s="356"/>
      <c r="AY41" s="356"/>
      <c r="AZ41" s="344"/>
      <c r="BA41" s="344"/>
      <c r="BB41" s="344"/>
      <c r="BC41" s="344"/>
      <c r="BD41" s="359"/>
      <c r="BE41" s="360">
        <v>3</v>
      </c>
      <c r="BF41" s="360"/>
      <c r="BG41" s="360">
        <v>18</v>
      </c>
      <c r="BH41" s="360">
        <v>18</v>
      </c>
      <c r="BI41" s="345"/>
      <c r="BJ41" s="345"/>
      <c r="BK41" s="356"/>
      <c r="BL41" s="345"/>
      <c r="BM41" s="345">
        <v>1</v>
      </c>
      <c r="BN41" s="347"/>
    </row>
    <row r="42" spans="1:66" s="361" customFormat="1" ht="24">
      <c r="A42" s="356">
        <f t="shared" si="9"/>
        <v>8</v>
      </c>
      <c r="B42" s="357" t="s">
        <v>57</v>
      </c>
      <c r="C42" s="356">
        <v>42</v>
      </c>
      <c r="D42" s="356"/>
      <c r="E42" s="342">
        <f t="shared" si="7"/>
        <v>3</v>
      </c>
      <c r="F42" s="342">
        <f t="shared" si="8"/>
        <v>3</v>
      </c>
      <c r="G42" s="356"/>
      <c r="H42" s="344"/>
      <c r="I42" s="344"/>
      <c r="J42" s="344"/>
      <c r="K42" s="344"/>
      <c r="L42" s="343"/>
      <c r="M42" s="344"/>
      <c r="N42" s="343"/>
      <c r="O42" s="344"/>
      <c r="P42" s="358"/>
      <c r="Q42" s="358"/>
      <c r="R42" s="358"/>
      <c r="S42" s="358"/>
      <c r="T42" s="358"/>
      <c r="U42" s="343"/>
      <c r="V42" s="344"/>
      <c r="W42" s="344"/>
      <c r="X42" s="344">
        <f>W42*1100</f>
        <v>0</v>
      </c>
      <c r="Y42" s="345"/>
      <c r="Z42" s="344"/>
      <c r="AA42" s="345">
        <v>2</v>
      </c>
      <c r="AB42" s="345">
        <v>2</v>
      </c>
      <c r="AC42" s="344"/>
      <c r="AD42" s="344"/>
      <c r="AE42" s="345"/>
      <c r="AF42" s="344"/>
      <c r="AG42" s="345">
        <v>9</v>
      </c>
      <c r="AH42" s="345"/>
      <c r="AI42" s="344"/>
      <c r="AJ42" s="344"/>
      <c r="AK42" s="345"/>
      <c r="AL42" s="344"/>
      <c r="AM42" s="344"/>
      <c r="AN42" s="344"/>
      <c r="AO42" s="344"/>
      <c r="AP42" s="344"/>
      <c r="AQ42" s="344"/>
      <c r="AR42" s="362" t="s">
        <v>136</v>
      </c>
      <c r="AS42" s="344">
        <v>3</v>
      </c>
      <c r="AT42" s="362" t="s">
        <v>136</v>
      </c>
      <c r="AU42" s="344">
        <v>3</v>
      </c>
      <c r="AV42" s="356"/>
      <c r="AW42" s="356"/>
      <c r="AX42" s="356"/>
      <c r="AY42" s="356"/>
      <c r="AZ42" s="344"/>
      <c r="BA42" s="344"/>
      <c r="BB42" s="344"/>
      <c r="BC42" s="344"/>
      <c r="BD42" s="359"/>
      <c r="BE42" s="360">
        <v>1</v>
      </c>
      <c r="BF42" s="360">
        <v>1</v>
      </c>
      <c r="BG42" s="360">
        <v>1</v>
      </c>
      <c r="BH42" s="360">
        <v>1</v>
      </c>
      <c r="BI42" s="345"/>
      <c r="BJ42" s="345"/>
      <c r="BK42" s="356"/>
      <c r="BL42" s="345"/>
      <c r="BM42" s="345">
        <v>1</v>
      </c>
      <c r="BN42" s="347">
        <v>1</v>
      </c>
    </row>
    <row r="43" spans="1:66" s="361" customFormat="1" ht="24">
      <c r="A43" s="356">
        <f t="shared" si="9"/>
        <v>9</v>
      </c>
      <c r="B43" s="357" t="s">
        <v>57</v>
      </c>
      <c r="C43" s="356">
        <v>44</v>
      </c>
      <c r="D43" s="356"/>
      <c r="E43" s="342">
        <f t="shared" si="7"/>
        <v>3</v>
      </c>
      <c r="F43" s="342">
        <f t="shared" si="8"/>
        <v>3</v>
      </c>
      <c r="G43" s="356"/>
      <c r="H43" s="344"/>
      <c r="I43" s="344"/>
      <c r="J43" s="344"/>
      <c r="K43" s="344"/>
      <c r="L43" s="343"/>
      <c r="M43" s="344"/>
      <c r="N43" s="343"/>
      <c r="O43" s="344"/>
      <c r="P43" s="358"/>
      <c r="Q43" s="358"/>
      <c r="R43" s="358"/>
      <c r="S43" s="358"/>
      <c r="T43" s="358"/>
      <c r="U43" s="343"/>
      <c r="V43" s="344"/>
      <c r="W43" s="344"/>
      <c r="X43" s="344"/>
      <c r="Y43" s="345"/>
      <c r="Z43" s="344"/>
      <c r="AA43" s="345">
        <v>2</v>
      </c>
      <c r="AB43" s="345">
        <v>2</v>
      </c>
      <c r="AC43" s="344"/>
      <c r="AD43" s="344"/>
      <c r="AE43" s="345"/>
      <c r="AF43" s="344"/>
      <c r="AG43" s="345">
        <v>10</v>
      </c>
      <c r="AH43" s="345"/>
      <c r="AI43" s="344"/>
      <c r="AJ43" s="344"/>
      <c r="AK43" s="345"/>
      <c r="AL43" s="344"/>
      <c r="AM43" s="344"/>
      <c r="AN43" s="344"/>
      <c r="AO43" s="344"/>
      <c r="AP43" s="344"/>
      <c r="AQ43" s="344"/>
      <c r="AR43" s="362" t="s">
        <v>136</v>
      </c>
      <c r="AS43" s="344">
        <v>3</v>
      </c>
      <c r="AT43" s="362" t="s">
        <v>136</v>
      </c>
      <c r="AU43" s="344">
        <v>3</v>
      </c>
      <c r="AV43" s="356"/>
      <c r="AW43" s="356"/>
      <c r="AX43" s="356"/>
      <c r="AY43" s="356"/>
      <c r="AZ43" s="344"/>
      <c r="BA43" s="344"/>
      <c r="BB43" s="344"/>
      <c r="BC43" s="344"/>
      <c r="BD43" s="359"/>
      <c r="BE43" s="360">
        <v>1</v>
      </c>
      <c r="BF43" s="360">
        <v>1</v>
      </c>
      <c r="BG43" s="360">
        <v>1</v>
      </c>
      <c r="BH43" s="360">
        <v>1</v>
      </c>
      <c r="BI43" s="345"/>
      <c r="BJ43" s="345"/>
      <c r="BK43" s="356"/>
      <c r="BL43" s="345"/>
      <c r="BM43" s="345">
        <v>1</v>
      </c>
      <c r="BN43" s="347">
        <v>1</v>
      </c>
    </row>
    <row r="44" spans="1:66" s="361" customFormat="1" ht="12">
      <c r="A44" s="356">
        <f t="shared" si="9"/>
        <v>10</v>
      </c>
      <c r="B44" s="357" t="s">
        <v>51</v>
      </c>
      <c r="C44" s="356">
        <v>97</v>
      </c>
      <c r="D44" s="356"/>
      <c r="E44" s="342">
        <f t="shared" si="7"/>
        <v>25.072</v>
      </c>
      <c r="F44" s="342">
        <f t="shared" si="8"/>
        <v>25.072</v>
      </c>
      <c r="G44" s="356"/>
      <c r="H44" s="344"/>
      <c r="I44" s="344"/>
      <c r="J44" s="344"/>
      <c r="K44" s="344"/>
      <c r="L44" s="343"/>
      <c r="M44" s="344"/>
      <c r="N44" s="343"/>
      <c r="O44" s="344"/>
      <c r="P44" s="358"/>
      <c r="Q44" s="358"/>
      <c r="R44" s="358"/>
      <c r="S44" s="358"/>
      <c r="T44" s="358"/>
      <c r="U44" s="343"/>
      <c r="V44" s="344"/>
      <c r="W44" s="344"/>
      <c r="X44" s="344"/>
      <c r="Y44" s="345"/>
      <c r="Z44" s="344"/>
      <c r="AA44" s="345">
        <v>3</v>
      </c>
      <c r="AB44" s="345">
        <v>3</v>
      </c>
      <c r="AC44" s="344"/>
      <c r="AD44" s="344"/>
      <c r="AE44" s="345"/>
      <c r="AF44" s="344"/>
      <c r="AG44" s="345">
        <v>12</v>
      </c>
      <c r="AH44" s="345"/>
      <c r="AI44" s="344"/>
      <c r="AJ44" s="344"/>
      <c r="AK44" s="345"/>
      <c r="AL44" s="344"/>
      <c r="AM44" s="344"/>
      <c r="AN44" s="344"/>
      <c r="AO44" s="344"/>
      <c r="AP44" s="344"/>
      <c r="AQ44" s="344"/>
      <c r="AR44" s="356" t="s">
        <v>143</v>
      </c>
      <c r="AS44" s="344">
        <v>25.072</v>
      </c>
      <c r="AT44" s="356" t="s">
        <v>143</v>
      </c>
      <c r="AU44" s="344">
        <v>25.072</v>
      </c>
      <c r="AV44" s="356"/>
      <c r="AW44" s="356"/>
      <c r="AX44" s="356"/>
      <c r="AY44" s="356"/>
      <c r="AZ44" s="344"/>
      <c r="BA44" s="344"/>
      <c r="BB44" s="344"/>
      <c r="BC44" s="344"/>
      <c r="BD44" s="359"/>
      <c r="BE44" s="360">
        <v>1</v>
      </c>
      <c r="BF44" s="360">
        <v>1</v>
      </c>
      <c r="BG44" s="360">
        <v>2</v>
      </c>
      <c r="BH44" s="360">
        <v>2</v>
      </c>
      <c r="BI44" s="345"/>
      <c r="BJ44" s="345"/>
      <c r="BK44" s="356"/>
      <c r="BL44" s="345"/>
      <c r="BM44" s="345">
        <v>1</v>
      </c>
      <c r="BN44" s="347">
        <v>1</v>
      </c>
    </row>
    <row r="45" spans="1:66" s="361" customFormat="1" ht="24">
      <c r="A45" s="356">
        <f t="shared" si="9"/>
        <v>11</v>
      </c>
      <c r="B45" s="357" t="s">
        <v>51</v>
      </c>
      <c r="C45" s="356">
        <v>103</v>
      </c>
      <c r="D45" s="356"/>
      <c r="E45" s="342">
        <f t="shared" si="7"/>
        <v>33.116</v>
      </c>
      <c r="F45" s="342">
        <f t="shared" si="8"/>
        <v>61.616</v>
      </c>
      <c r="G45" s="356"/>
      <c r="H45" s="344">
        <v>0.02</v>
      </c>
      <c r="I45" s="342">
        <f>H45*475</f>
        <v>9.5</v>
      </c>
      <c r="J45" s="344">
        <v>0.08</v>
      </c>
      <c r="K45" s="342">
        <f>J45*475</f>
        <v>38</v>
      </c>
      <c r="L45" s="343"/>
      <c r="M45" s="344"/>
      <c r="N45" s="343"/>
      <c r="O45" s="344"/>
      <c r="P45" s="358"/>
      <c r="Q45" s="358"/>
      <c r="R45" s="358"/>
      <c r="S45" s="358"/>
      <c r="T45" s="358"/>
      <c r="U45" s="343"/>
      <c r="V45" s="344"/>
      <c r="W45" s="344"/>
      <c r="X45" s="344"/>
      <c r="Y45" s="345"/>
      <c r="Z45" s="344"/>
      <c r="AA45" s="345">
        <v>6</v>
      </c>
      <c r="AB45" s="345">
        <v>6</v>
      </c>
      <c r="AC45" s="344"/>
      <c r="AD45" s="344"/>
      <c r="AE45" s="345"/>
      <c r="AF45" s="344"/>
      <c r="AG45" s="345">
        <v>15</v>
      </c>
      <c r="AH45" s="345">
        <v>10</v>
      </c>
      <c r="AI45" s="344"/>
      <c r="AJ45" s="344"/>
      <c r="AK45" s="345"/>
      <c r="AL45" s="344"/>
      <c r="AM45" s="344"/>
      <c r="AN45" s="250" t="s">
        <v>144</v>
      </c>
      <c r="AO45" s="344">
        <v>11.808</v>
      </c>
      <c r="AP45" s="250" t="s">
        <v>144</v>
      </c>
      <c r="AQ45" s="344">
        <v>11.808</v>
      </c>
      <c r="AR45" s="356"/>
      <c r="AS45" s="344"/>
      <c r="AT45" s="344"/>
      <c r="AU45" s="344"/>
      <c r="AV45" s="344" t="s">
        <v>144</v>
      </c>
      <c r="AW45" s="356" t="s">
        <v>145</v>
      </c>
      <c r="AX45" s="344" t="s">
        <v>144</v>
      </c>
      <c r="AY45" s="356" t="s">
        <v>145</v>
      </c>
      <c r="AZ45" s="344"/>
      <c r="BA45" s="344"/>
      <c r="BB45" s="344"/>
      <c r="BC45" s="344"/>
      <c r="BD45" s="359"/>
      <c r="BE45" s="360">
        <v>2</v>
      </c>
      <c r="BF45" s="360">
        <v>2</v>
      </c>
      <c r="BG45" s="360">
        <v>8</v>
      </c>
      <c r="BH45" s="360">
        <v>8</v>
      </c>
      <c r="BI45" s="345"/>
      <c r="BJ45" s="345"/>
      <c r="BK45" s="356"/>
      <c r="BL45" s="345"/>
      <c r="BM45" s="345">
        <v>1</v>
      </c>
      <c r="BN45" s="347">
        <v>1</v>
      </c>
    </row>
    <row r="46" spans="1:66" s="361" customFormat="1" ht="12">
      <c r="A46" s="356">
        <f t="shared" si="9"/>
        <v>12</v>
      </c>
      <c r="B46" s="357" t="s">
        <v>51</v>
      </c>
      <c r="C46" s="356">
        <v>105</v>
      </c>
      <c r="D46" s="356"/>
      <c r="E46" s="342">
        <f t="shared" si="7"/>
        <v>21.523000000000003</v>
      </c>
      <c r="F46" s="342">
        <f t="shared" si="8"/>
        <v>29.899</v>
      </c>
      <c r="G46" s="356"/>
      <c r="H46" s="344"/>
      <c r="I46" s="344"/>
      <c r="J46" s="344"/>
      <c r="K46" s="344"/>
      <c r="L46" s="343">
        <v>0.006</v>
      </c>
      <c r="M46" s="344">
        <f>L46*360</f>
        <v>2.16</v>
      </c>
      <c r="N46" s="343">
        <v>0.006</v>
      </c>
      <c r="O46" s="342">
        <f>N46*360</f>
        <v>2.16</v>
      </c>
      <c r="P46" s="358"/>
      <c r="Q46" s="358"/>
      <c r="R46" s="358"/>
      <c r="S46" s="358"/>
      <c r="T46" s="358"/>
      <c r="U46" s="343">
        <v>0.01</v>
      </c>
      <c r="V46" s="342">
        <f>U46*1047</f>
        <v>10.47</v>
      </c>
      <c r="W46" s="343">
        <v>0.018</v>
      </c>
      <c r="X46" s="342">
        <f>W46*1047</f>
        <v>18.846</v>
      </c>
      <c r="Y46" s="345"/>
      <c r="Z46" s="344"/>
      <c r="AA46" s="345">
        <v>1</v>
      </c>
      <c r="AB46" s="345">
        <v>1</v>
      </c>
      <c r="AC46" s="344"/>
      <c r="AD46" s="344"/>
      <c r="AE46" s="345"/>
      <c r="AF46" s="344"/>
      <c r="AG46" s="345">
        <v>7</v>
      </c>
      <c r="AH46" s="345">
        <v>7</v>
      </c>
      <c r="AI46" s="344"/>
      <c r="AJ46" s="344"/>
      <c r="AK46" s="345"/>
      <c r="AL46" s="344"/>
      <c r="AM46" s="344"/>
      <c r="AN46" s="344"/>
      <c r="AO46" s="344"/>
      <c r="AP46" s="344"/>
      <c r="AQ46" s="344"/>
      <c r="AR46" s="356" t="s">
        <v>146</v>
      </c>
      <c r="AS46" s="344">
        <v>8.893</v>
      </c>
      <c r="AT46" s="356" t="s">
        <v>146</v>
      </c>
      <c r="AU46" s="344">
        <v>8.893</v>
      </c>
      <c r="AV46" s="356"/>
      <c r="AW46" s="356"/>
      <c r="AX46" s="356"/>
      <c r="AY46" s="356"/>
      <c r="AZ46" s="344"/>
      <c r="BA46" s="344"/>
      <c r="BB46" s="344"/>
      <c r="BC46" s="344"/>
      <c r="BD46" s="359"/>
      <c r="BE46" s="360">
        <v>1</v>
      </c>
      <c r="BF46" s="360">
        <v>1</v>
      </c>
      <c r="BG46" s="360">
        <v>1</v>
      </c>
      <c r="BH46" s="360">
        <v>1</v>
      </c>
      <c r="BI46" s="345"/>
      <c r="BJ46" s="345"/>
      <c r="BK46" s="356"/>
      <c r="BL46" s="345"/>
      <c r="BM46" s="345">
        <v>1</v>
      </c>
      <c r="BN46" s="347">
        <v>1</v>
      </c>
    </row>
    <row r="47" spans="1:66" s="361" customFormat="1" ht="12">
      <c r="A47" s="356">
        <f t="shared" si="9"/>
        <v>13</v>
      </c>
      <c r="B47" s="357" t="s">
        <v>51</v>
      </c>
      <c r="C47" s="356">
        <v>107</v>
      </c>
      <c r="D47" s="356"/>
      <c r="E47" s="342">
        <f t="shared" si="7"/>
        <v>0</v>
      </c>
      <c r="F47" s="342">
        <f t="shared" si="8"/>
        <v>0</v>
      </c>
      <c r="G47" s="356"/>
      <c r="H47" s="344"/>
      <c r="I47" s="344"/>
      <c r="J47" s="344"/>
      <c r="K47" s="344"/>
      <c r="L47" s="343"/>
      <c r="M47" s="344"/>
      <c r="N47" s="343"/>
      <c r="O47" s="344"/>
      <c r="P47" s="358"/>
      <c r="Q47" s="358"/>
      <c r="R47" s="358"/>
      <c r="S47" s="358"/>
      <c r="T47" s="358"/>
      <c r="U47" s="343"/>
      <c r="V47" s="344"/>
      <c r="W47" s="344"/>
      <c r="X47" s="344"/>
      <c r="Y47" s="345"/>
      <c r="Z47" s="344"/>
      <c r="AA47" s="345">
        <v>4</v>
      </c>
      <c r="AB47" s="345">
        <v>4</v>
      </c>
      <c r="AC47" s="344"/>
      <c r="AD47" s="344"/>
      <c r="AE47" s="345"/>
      <c r="AF47" s="344"/>
      <c r="AG47" s="345">
        <v>10</v>
      </c>
      <c r="AH47" s="345"/>
      <c r="AI47" s="344"/>
      <c r="AJ47" s="344"/>
      <c r="AK47" s="345"/>
      <c r="AL47" s="344"/>
      <c r="AM47" s="344"/>
      <c r="AN47" s="344"/>
      <c r="AO47" s="344"/>
      <c r="AP47" s="344"/>
      <c r="AQ47" s="344"/>
      <c r="AR47" s="356"/>
      <c r="AS47" s="344"/>
      <c r="AT47" s="356"/>
      <c r="AU47" s="344"/>
      <c r="AV47" s="356"/>
      <c r="AW47" s="356"/>
      <c r="AX47" s="356"/>
      <c r="AY47" s="356"/>
      <c r="AZ47" s="344"/>
      <c r="BA47" s="344"/>
      <c r="BB47" s="344"/>
      <c r="BC47" s="344"/>
      <c r="BD47" s="359"/>
      <c r="BE47" s="360">
        <v>1</v>
      </c>
      <c r="BF47" s="360">
        <v>1</v>
      </c>
      <c r="BG47" s="360">
        <v>2</v>
      </c>
      <c r="BH47" s="360">
        <v>2</v>
      </c>
      <c r="BI47" s="345"/>
      <c r="BJ47" s="345"/>
      <c r="BK47" s="356"/>
      <c r="BL47" s="345"/>
      <c r="BM47" s="345">
        <v>1</v>
      </c>
      <c r="BN47" s="347">
        <v>1</v>
      </c>
    </row>
    <row r="48" spans="1:66" s="361" customFormat="1" ht="12">
      <c r="A48" s="356">
        <f t="shared" si="9"/>
        <v>14</v>
      </c>
      <c r="B48" s="357" t="s">
        <v>51</v>
      </c>
      <c r="C48" s="356">
        <v>109</v>
      </c>
      <c r="D48" s="356" t="s">
        <v>41</v>
      </c>
      <c r="E48" s="342">
        <f t="shared" si="7"/>
        <v>17.400000000000002</v>
      </c>
      <c r="F48" s="342">
        <f t="shared" si="8"/>
        <v>4.75</v>
      </c>
      <c r="G48" s="356"/>
      <c r="H48" s="344">
        <v>0.012</v>
      </c>
      <c r="I48" s="342">
        <f>H48*1450</f>
        <v>17.400000000000002</v>
      </c>
      <c r="J48" s="344">
        <v>0.01</v>
      </c>
      <c r="K48" s="342">
        <f>J48*475</f>
        <v>4.75</v>
      </c>
      <c r="L48" s="343"/>
      <c r="M48" s="344"/>
      <c r="N48" s="343"/>
      <c r="O48" s="344"/>
      <c r="P48" s="358"/>
      <c r="Q48" s="358"/>
      <c r="R48" s="358"/>
      <c r="S48" s="358"/>
      <c r="T48" s="358"/>
      <c r="U48" s="343"/>
      <c r="V48" s="344"/>
      <c r="W48" s="344"/>
      <c r="X48" s="344"/>
      <c r="Y48" s="345"/>
      <c r="Z48" s="344"/>
      <c r="AA48" s="345">
        <v>2</v>
      </c>
      <c r="AB48" s="345">
        <v>2</v>
      </c>
      <c r="AC48" s="344"/>
      <c r="AD48" s="344"/>
      <c r="AE48" s="345"/>
      <c r="AF48" s="344"/>
      <c r="AG48" s="345">
        <v>2</v>
      </c>
      <c r="AH48" s="345">
        <v>2</v>
      </c>
      <c r="AI48" s="344"/>
      <c r="AJ48" s="344"/>
      <c r="AK48" s="345"/>
      <c r="AL48" s="344"/>
      <c r="AM48" s="344"/>
      <c r="AN48" s="344"/>
      <c r="AO48" s="344"/>
      <c r="AP48" s="344"/>
      <c r="AQ48" s="344"/>
      <c r="AR48" s="356"/>
      <c r="AS48" s="344"/>
      <c r="AT48" s="356"/>
      <c r="AU48" s="344"/>
      <c r="AV48" s="356"/>
      <c r="AW48" s="356"/>
      <c r="AX48" s="356"/>
      <c r="AY48" s="356"/>
      <c r="AZ48" s="344"/>
      <c r="BA48" s="344"/>
      <c r="BB48" s="344"/>
      <c r="BC48" s="344"/>
      <c r="BD48" s="359"/>
      <c r="BE48" s="360"/>
      <c r="BF48" s="360"/>
      <c r="BG48" s="360">
        <v>1</v>
      </c>
      <c r="BH48" s="360">
        <v>1</v>
      </c>
      <c r="BI48" s="345"/>
      <c r="BJ48" s="345"/>
      <c r="BK48" s="356"/>
      <c r="BL48" s="345"/>
      <c r="BM48" s="345">
        <v>1</v>
      </c>
      <c r="BN48" s="347">
        <v>1</v>
      </c>
    </row>
    <row r="49" spans="1:66" s="361" customFormat="1" ht="12">
      <c r="A49" s="356">
        <f t="shared" si="9"/>
        <v>15</v>
      </c>
      <c r="B49" s="357" t="s">
        <v>51</v>
      </c>
      <c r="C49" s="356">
        <v>109</v>
      </c>
      <c r="D49" s="356"/>
      <c r="E49" s="342">
        <f t="shared" si="7"/>
        <v>0</v>
      </c>
      <c r="F49" s="342">
        <f t="shared" si="8"/>
        <v>0</v>
      </c>
      <c r="G49" s="356"/>
      <c r="H49" s="344"/>
      <c r="I49" s="344"/>
      <c r="J49" s="344"/>
      <c r="K49" s="344"/>
      <c r="L49" s="343"/>
      <c r="M49" s="344"/>
      <c r="N49" s="343"/>
      <c r="O49" s="344"/>
      <c r="P49" s="358"/>
      <c r="Q49" s="358"/>
      <c r="R49" s="358"/>
      <c r="S49" s="358"/>
      <c r="T49" s="358"/>
      <c r="U49" s="343"/>
      <c r="V49" s="344"/>
      <c r="W49" s="344"/>
      <c r="X49" s="344"/>
      <c r="Y49" s="345"/>
      <c r="Z49" s="344"/>
      <c r="AA49" s="345">
        <v>2</v>
      </c>
      <c r="AB49" s="345">
        <v>2</v>
      </c>
      <c r="AC49" s="344"/>
      <c r="AD49" s="344"/>
      <c r="AE49" s="345"/>
      <c r="AF49" s="344"/>
      <c r="AG49" s="345">
        <v>2</v>
      </c>
      <c r="AH49" s="345">
        <v>2</v>
      </c>
      <c r="AI49" s="344"/>
      <c r="AJ49" s="344"/>
      <c r="AK49" s="345"/>
      <c r="AL49" s="344"/>
      <c r="AM49" s="344"/>
      <c r="AN49" s="344"/>
      <c r="AO49" s="344"/>
      <c r="AP49" s="344"/>
      <c r="AQ49" s="344"/>
      <c r="AR49" s="356"/>
      <c r="AS49" s="344"/>
      <c r="AT49" s="356"/>
      <c r="AU49" s="344"/>
      <c r="AV49" s="356"/>
      <c r="AW49" s="356"/>
      <c r="AX49" s="356"/>
      <c r="AY49" s="356"/>
      <c r="AZ49" s="344"/>
      <c r="BA49" s="344"/>
      <c r="BB49" s="344"/>
      <c r="BC49" s="344"/>
      <c r="BD49" s="359"/>
      <c r="BE49" s="360"/>
      <c r="BF49" s="360"/>
      <c r="BG49" s="360">
        <v>1</v>
      </c>
      <c r="BH49" s="360">
        <v>1</v>
      </c>
      <c r="BI49" s="345"/>
      <c r="BJ49" s="345"/>
      <c r="BK49" s="356"/>
      <c r="BL49" s="345"/>
      <c r="BM49" s="345">
        <v>1</v>
      </c>
      <c r="BN49" s="347">
        <v>1</v>
      </c>
    </row>
    <row r="50" spans="1:66" s="361" customFormat="1" ht="12">
      <c r="A50" s="356">
        <f t="shared" si="9"/>
        <v>16</v>
      </c>
      <c r="B50" s="357" t="s">
        <v>51</v>
      </c>
      <c r="C50" s="356">
        <v>111</v>
      </c>
      <c r="D50" s="356" t="s">
        <v>41</v>
      </c>
      <c r="E50" s="342">
        <f t="shared" si="7"/>
        <v>0</v>
      </c>
      <c r="F50" s="342">
        <f t="shared" si="8"/>
        <v>0</v>
      </c>
      <c r="G50" s="356"/>
      <c r="H50" s="344"/>
      <c r="I50" s="344"/>
      <c r="J50" s="344"/>
      <c r="K50" s="344"/>
      <c r="L50" s="343"/>
      <c r="M50" s="344"/>
      <c r="N50" s="343"/>
      <c r="O50" s="344"/>
      <c r="P50" s="358"/>
      <c r="Q50" s="358"/>
      <c r="R50" s="358"/>
      <c r="S50" s="358"/>
      <c r="T50" s="358"/>
      <c r="U50" s="343"/>
      <c r="V50" s="344"/>
      <c r="W50" s="344"/>
      <c r="X50" s="344"/>
      <c r="Y50" s="345"/>
      <c r="Z50" s="344"/>
      <c r="AA50" s="345">
        <v>2</v>
      </c>
      <c r="AB50" s="345">
        <v>2</v>
      </c>
      <c r="AC50" s="344"/>
      <c r="AD50" s="344"/>
      <c r="AE50" s="345"/>
      <c r="AF50" s="344"/>
      <c r="AG50" s="345">
        <v>2</v>
      </c>
      <c r="AH50" s="345"/>
      <c r="AI50" s="344"/>
      <c r="AJ50" s="344"/>
      <c r="AK50" s="345"/>
      <c r="AL50" s="344"/>
      <c r="AM50" s="344"/>
      <c r="AN50" s="344"/>
      <c r="AO50" s="344"/>
      <c r="AP50" s="344"/>
      <c r="AQ50" s="344"/>
      <c r="AR50" s="356"/>
      <c r="AS50" s="344"/>
      <c r="AT50" s="356"/>
      <c r="AU50" s="344"/>
      <c r="AV50" s="356"/>
      <c r="AW50" s="356"/>
      <c r="AX50" s="356"/>
      <c r="AY50" s="356"/>
      <c r="AZ50" s="344"/>
      <c r="BA50" s="344"/>
      <c r="BB50" s="344"/>
      <c r="BC50" s="344"/>
      <c r="BD50" s="359"/>
      <c r="BE50" s="360"/>
      <c r="BF50" s="360"/>
      <c r="BG50" s="360">
        <v>1</v>
      </c>
      <c r="BH50" s="360">
        <v>1</v>
      </c>
      <c r="BI50" s="345"/>
      <c r="BJ50" s="345"/>
      <c r="BK50" s="356"/>
      <c r="BL50" s="345"/>
      <c r="BM50" s="345">
        <v>1</v>
      </c>
      <c r="BN50" s="347">
        <v>1</v>
      </c>
    </row>
    <row r="51" spans="1:66" s="361" customFormat="1" ht="12">
      <c r="A51" s="356">
        <f t="shared" si="9"/>
        <v>17</v>
      </c>
      <c r="B51" s="357" t="s">
        <v>51</v>
      </c>
      <c r="C51" s="356">
        <v>111</v>
      </c>
      <c r="D51" s="356"/>
      <c r="E51" s="342">
        <f t="shared" si="7"/>
        <v>5.9879999999999995</v>
      </c>
      <c r="F51" s="342">
        <f t="shared" si="8"/>
        <v>1.8</v>
      </c>
      <c r="G51" s="356"/>
      <c r="H51" s="344"/>
      <c r="I51" s="344"/>
      <c r="J51" s="344"/>
      <c r="K51" s="344"/>
      <c r="L51" s="343">
        <v>0.005</v>
      </c>
      <c r="M51" s="344">
        <f>L51*360</f>
        <v>1.8</v>
      </c>
      <c r="N51" s="343">
        <v>0.005</v>
      </c>
      <c r="O51" s="342">
        <f>N51*360</f>
        <v>1.8</v>
      </c>
      <c r="P51" s="358"/>
      <c r="Q51" s="358"/>
      <c r="R51" s="358"/>
      <c r="S51" s="358"/>
      <c r="T51" s="358"/>
      <c r="U51" s="343">
        <v>0.004</v>
      </c>
      <c r="V51" s="342">
        <f>U51*1047</f>
        <v>4.188</v>
      </c>
      <c r="W51" s="344"/>
      <c r="X51" s="344"/>
      <c r="Y51" s="345"/>
      <c r="Z51" s="344"/>
      <c r="AA51" s="345">
        <v>2</v>
      </c>
      <c r="AB51" s="345">
        <v>2</v>
      </c>
      <c r="AC51" s="344"/>
      <c r="AD51" s="344"/>
      <c r="AE51" s="345"/>
      <c r="AF51" s="344"/>
      <c r="AG51" s="345">
        <v>11</v>
      </c>
      <c r="AH51" s="345"/>
      <c r="AI51" s="344"/>
      <c r="AJ51" s="344"/>
      <c r="AK51" s="345"/>
      <c r="AL51" s="344"/>
      <c r="AM51" s="344"/>
      <c r="AN51" s="344"/>
      <c r="AO51" s="342"/>
      <c r="AP51" s="344"/>
      <c r="AQ51" s="342"/>
      <c r="AR51" s="356"/>
      <c r="AS51" s="344"/>
      <c r="AT51" s="356"/>
      <c r="AU51" s="344"/>
      <c r="AV51" s="356"/>
      <c r="AW51" s="356"/>
      <c r="AX51" s="356"/>
      <c r="AY51" s="356"/>
      <c r="AZ51" s="344"/>
      <c r="BA51" s="344"/>
      <c r="BB51" s="344"/>
      <c r="BC51" s="344"/>
      <c r="BD51" s="359"/>
      <c r="BE51" s="360">
        <v>1</v>
      </c>
      <c r="BF51" s="360">
        <v>1</v>
      </c>
      <c r="BG51" s="360">
        <v>1</v>
      </c>
      <c r="BH51" s="360">
        <v>1</v>
      </c>
      <c r="BI51" s="345"/>
      <c r="BJ51" s="345"/>
      <c r="BK51" s="356"/>
      <c r="BL51" s="345"/>
      <c r="BM51" s="345">
        <v>1</v>
      </c>
      <c r="BN51" s="347">
        <v>1</v>
      </c>
    </row>
    <row r="52" spans="1:66" s="361" customFormat="1" ht="12">
      <c r="A52" s="356">
        <f t="shared" si="9"/>
        <v>18</v>
      </c>
      <c r="B52" s="357" t="s">
        <v>51</v>
      </c>
      <c r="C52" s="356">
        <v>113</v>
      </c>
      <c r="D52" s="356"/>
      <c r="E52" s="342">
        <f t="shared" si="7"/>
        <v>0</v>
      </c>
      <c r="F52" s="342">
        <f t="shared" si="8"/>
        <v>0</v>
      </c>
      <c r="G52" s="356"/>
      <c r="H52" s="344"/>
      <c r="I52" s="344"/>
      <c r="J52" s="344"/>
      <c r="K52" s="342"/>
      <c r="L52" s="343"/>
      <c r="M52" s="344"/>
      <c r="N52" s="343"/>
      <c r="O52" s="344"/>
      <c r="P52" s="358"/>
      <c r="Q52" s="358"/>
      <c r="R52" s="358"/>
      <c r="S52" s="358"/>
      <c r="T52" s="358"/>
      <c r="U52" s="343"/>
      <c r="V52" s="344"/>
      <c r="W52" s="344"/>
      <c r="X52" s="344"/>
      <c r="Y52" s="345"/>
      <c r="Z52" s="344"/>
      <c r="AA52" s="345">
        <v>4</v>
      </c>
      <c r="AB52" s="345">
        <v>4</v>
      </c>
      <c r="AC52" s="344"/>
      <c r="AD52" s="344"/>
      <c r="AE52" s="345"/>
      <c r="AF52" s="344"/>
      <c r="AG52" s="345">
        <v>18</v>
      </c>
      <c r="AH52" s="345"/>
      <c r="AI52" s="344"/>
      <c r="AJ52" s="344"/>
      <c r="AK52" s="345"/>
      <c r="AL52" s="344"/>
      <c r="AM52" s="344"/>
      <c r="AN52" s="344"/>
      <c r="AO52" s="344"/>
      <c r="AP52" s="344"/>
      <c r="AQ52" s="344"/>
      <c r="AR52" s="356"/>
      <c r="AS52" s="344"/>
      <c r="AT52" s="356"/>
      <c r="AU52" s="344"/>
      <c r="AV52" s="356"/>
      <c r="AW52" s="356"/>
      <c r="AX52" s="356"/>
      <c r="AY52" s="356"/>
      <c r="AZ52" s="344"/>
      <c r="BA52" s="344"/>
      <c r="BB52" s="344"/>
      <c r="BC52" s="344"/>
      <c r="BD52" s="359"/>
      <c r="BE52" s="360">
        <v>1</v>
      </c>
      <c r="BF52" s="360">
        <v>1</v>
      </c>
      <c r="BG52" s="360">
        <v>1</v>
      </c>
      <c r="BH52" s="360">
        <v>1</v>
      </c>
      <c r="BI52" s="345"/>
      <c r="BJ52" s="345"/>
      <c r="BK52" s="356"/>
      <c r="BL52" s="345"/>
      <c r="BM52" s="345">
        <v>1</v>
      </c>
      <c r="BN52" s="347">
        <v>1</v>
      </c>
    </row>
    <row r="53" spans="1:66" s="361" customFormat="1" ht="12.75" thickBot="1">
      <c r="A53" s="393">
        <f t="shared" si="9"/>
        <v>19</v>
      </c>
      <c r="B53" s="394" t="s">
        <v>51</v>
      </c>
      <c r="C53" s="393">
        <v>119</v>
      </c>
      <c r="D53" s="393"/>
      <c r="E53" s="395">
        <f t="shared" si="7"/>
        <v>20.183999999999997</v>
      </c>
      <c r="F53" s="395">
        <f t="shared" si="8"/>
        <v>20.183999999999997</v>
      </c>
      <c r="G53" s="393"/>
      <c r="H53" s="396"/>
      <c r="I53" s="396"/>
      <c r="J53" s="396"/>
      <c r="K53" s="396"/>
      <c r="L53" s="397"/>
      <c r="M53" s="396"/>
      <c r="N53" s="397"/>
      <c r="O53" s="396"/>
      <c r="P53" s="398"/>
      <c r="Q53" s="398"/>
      <c r="R53" s="398"/>
      <c r="S53" s="398"/>
      <c r="T53" s="398"/>
      <c r="U53" s="397">
        <v>0.008</v>
      </c>
      <c r="V53" s="395">
        <f>U53*1047</f>
        <v>8.376</v>
      </c>
      <c r="W53" s="397">
        <v>0.008</v>
      </c>
      <c r="X53" s="395">
        <f>W53*1047</f>
        <v>8.376</v>
      </c>
      <c r="Y53" s="399"/>
      <c r="Z53" s="396"/>
      <c r="AA53" s="399">
        <v>2</v>
      </c>
      <c r="AB53" s="399">
        <v>2</v>
      </c>
      <c r="AC53" s="396"/>
      <c r="AD53" s="396"/>
      <c r="AE53" s="399"/>
      <c r="AF53" s="396"/>
      <c r="AG53" s="399">
        <v>12</v>
      </c>
      <c r="AH53" s="399">
        <v>12</v>
      </c>
      <c r="AI53" s="396"/>
      <c r="AJ53" s="396"/>
      <c r="AK53" s="399"/>
      <c r="AL53" s="396"/>
      <c r="AM53" s="396"/>
      <c r="AN53" s="396"/>
      <c r="AO53" s="396"/>
      <c r="AP53" s="396"/>
      <c r="AQ53" s="396"/>
      <c r="AR53" s="393"/>
      <c r="AS53" s="396"/>
      <c r="AT53" s="393"/>
      <c r="AU53" s="396"/>
      <c r="AV53" s="396" t="s">
        <v>144</v>
      </c>
      <c r="AW53" s="393" t="s">
        <v>145</v>
      </c>
      <c r="AX53" s="396" t="s">
        <v>144</v>
      </c>
      <c r="AY53" s="393" t="s">
        <v>145</v>
      </c>
      <c r="AZ53" s="396"/>
      <c r="BA53" s="396"/>
      <c r="BB53" s="396"/>
      <c r="BC53" s="396"/>
      <c r="BD53" s="400"/>
      <c r="BE53" s="401">
        <v>1</v>
      </c>
      <c r="BF53" s="401">
        <v>1</v>
      </c>
      <c r="BG53" s="401">
        <v>6</v>
      </c>
      <c r="BH53" s="401">
        <v>6</v>
      </c>
      <c r="BI53" s="399"/>
      <c r="BJ53" s="399"/>
      <c r="BK53" s="393"/>
      <c r="BL53" s="399"/>
      <c r="BM53" s="399">
        <v>1</v>
      </c>
      <c r="BN53" s="402">
        <v>1</v>
      </c>
    </row>
    <row r="54" spans="1:66" s="361" customFormat="1" ht="12">
      <c r="A54" s="413" t="s">
        <v>0</v>
      </c>
      <c r="B54" s="414" t="s">
        <v>1</v>
      </c>
      <c r="C54" s="415"/>
      <c r="D54" s="416"/>
      <c r="E54" s="417" t="s">
        <v>2</v>
      </c>
      <c r="F54" s="418"/>
      <c r="G54" s="419"/>
      <c r="H54" s="420" t="s">
        <v>3</v>
      </c>
      <c r="I54" s="421"/>
      <c r="J54" s="421"/>
      <c r="K54" s="421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  <c r="AD54" s="422"/>
      <c r="AE54" s="422"/>
      <c r="AF54" s="422"/>
      <c r="AG54" s="422"/>
      <c r="AH54" s="422"/>
      <c r="AI54" s="422"/>
      <c r="AJ54" s="422"/>
      <c r="AK54" s="422"/>
      <c r="AL54" s="422"/>
      <c r="AM54" s="422"/>
      <c r="AN54" s="422"/>
      <c r="AO54" s="422"/>
      <c r="AP54" s="422"/>
      <c r="AQ54" s="422"/>
      <c r="AR54" s="422"/>
      <c r="AS54" s="422"/>
      <c r="AT54" s="422"/>
      <c r="AU54" s="422"/>
      <c r="AV54" s="422"/>
      <c r="AW54" s="422"/>
      <c r="AX54" s="422"/>
      <c r="AY54" s="422"/>
      <c r="AZ54" s="422"/>
      <c r="BA54" s="422"/>
      <c r="BB54" s="422"/>
      <c r="BC54" s="422"/>
      <c r="BD54" s="422"/>
      <c r="BE54" s="422"/>
      <c r="BF54" s="422"/>
      <c r="BG54" s="422"/>
      <c r="BH54" s="422"/>
      <c r="BI54" s="422"/>
      <c r="BJ54" s="423"/>
      <c r="BK54" s="424" t="s">
        <v>4</v>
      </c>
      <c r="BL54" s="425"/>
      <c r="BM54" s="426" t="s">
        <v>5</v>
      </c>
      <c r="BN54" s="427"/>
    </row>
    <row r="55" spans="1:66" s="361" customFormat="1" ht="12">
      <c r="A55" s="428"/>
      <c r="B55" s="310"/>
      <c r="C55" s="311"/>
      <c r="D55" s="312"/>
      <c r="E55" s="313"/>
      <c r="F55" s="314"/>
      <c r="G55" s="315"/>
      <c r="H55" s="390" t="s">
        <v>9</v>
      </c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91"/>
      <c r="AI55" s="391"/>
      <c r="AJ55" s="391"/>
      <c r="AK55" s="391"/>
      <c r="AL55" s="391"/>
      <c r="AM55" s="392"/>
      <c r="AN55" s="316" t="s">
        <v>10</v>
      </c>
      <c r="AO55" s="317"/>
      <c r="AP55" s="317"/>
      <c r="AQ55" s="317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9" t="s">
        <v>97</v>
      </c>
      <c r="BK55" s="320"/>
      <c r="BL55" s="321"/>
      <c r="BM55" s="322"/>
      <c r="BN55" s="429"/>
    </row>
    <row r="56" spans="1:66" s="366" customFormat="1" ht="75" customHeight="1">
      <c r="A56" s="428"/>
      <c r="B56" s="323" t="s">
        <v>11</v>
      </c>
      <c r="C56" s="323" t="s">
        <v>12</v>
      </c>
      <c r="D56" s="323" t="s">
        <v>13</v>
      </c>
      <c r="E56" s="324" t="s">
        <v>170</v>
      </c>
      <c r="F56" s="324" t="s">
        <v>171</v>
      </c>
      <c r="G56" s="324" t="s">
        <v>16</v>
      </c>
      <c r="H56" s="325" t="s">
        <v>98</v>
      </c>
      <c r="I56" s="326"/>
      <c r="J56" s="326"/>
      <c r="K56" s="326"/>
      <c r="L56" s="325" t="s">
        <v>17</v>
      </c>
      <c r="M56" s="326"/>
      <c r="N56" s="327"/>
      <c r="O56" s="326"/>
      <c r="P56" s="325" t="s">
        <v>99</v>
      </c>
      <c r="Q56" s="326"/>
      <c r="R56" s="326"/>
      <c r="S56" s="326"/>
      <c r="T56" s="328" t="s">
        <v>18</v>
      </c>
      <c r="U56" s="329" t="s">
        <v>138</v>
      </c>
      <c r="V56" s="326"/>
      <c r="W56" s="326"/>
      <c r="X56" s="326"/>
      <c r="Y56" s="330" t="s">
        <v>19</v>
      </c>
      <c r="Z56" s="331"/>
      <c r="AA56" s="332" t="s">
        <v>86</v>
      </c>
      <c r="AB56" s="333"/>
      <c r="AC56" s="248" t="s">
        <v>87</v>
      </c>
      <c r="AD56" s="326"/>
      <c r="AE56" s="326"/>
      <c r="AF56" s="334"/>
      <c r="AG56" s="248" t="s">
        <v>88</v>
      </c>
      <c r="AH56" s="333"/>
      <c r="AI56" s="248" t="s">
        <v>139</v>
      </c>
      <c r="AJ56" s="326"/>
      <c r="AK56" s="326"/>
      <c r="AL56" s="326"/>
      <c r="AM56" s="332" t="s">
        <v>20</v>
      </c>
      <c r="AN56" s="325" t="s">
        <v>21</v>
      </c>
      <c r="AO56" s="326"/>
      <c r="AP56" s="326"/>
      <c r="AQ56" s="326"/>
      <c r="AR56" s="325" t="s">
        <v>22</v>
      </c>
      <c r="AS56" s="326"/>
      <c r="AT56" s="326"/>
      <c r="AU56" s="326"/>
      <c r="AV56" s="325" t="s">
        <v>23</v>
      </c>
      <c r="AW56" s="326"/>
      <c r="AX56" s="326"/>
      <c r="AY56" s="326"/>
      <c r="AZ56" s="325" t="s">
        <v>172</v>
      </c>
      <c r="BA56" s="326"/>
      <c r="BB56" s="326"/>
      <c r="BC56" s="326"/>
      <c r="BD56" s="335" t="s">
        <v>24</v>
      </c>
      <c r="BE56" s="330" t="s">
        <v>25</v>
      </c>
      <c r="BF56" s="333"/>
      <c r="BG56" s="330" t="s">
        <v>26</v>
      </c>
      <c r="BH56" s="333"/>
      <c r="BI56" s="336" t="s">
        <v>27</v>
      </c>
      <c r="BJ56" s="337"/>
      <c r="BK56" s="320"/>
      <c r="BL56" s="338"/>
      <c r="BM56" s="339"/>
      <c r="BN56" s="430"/>
    </row>
    <row r="57" spans="1:66" ht="13.5" customHeight="1" thickBot="1">
      <c r="A57" s="431"/>
      <c r="B57" s="432"/>
      <c r="C57" s="432"/>
      <c r="D57" s="432"/>
      <c r="E57" s="433"/>
      <c r="F57" s="433"/>
      <c r="G57" s="433"/>
      <c r="H57" s="434" t="s">
        <v>173</v>
      </c>
      <c r="I57" s="435" t="s">
        <v>29</v>
      </c>
      <c r="J57" s="435" t="s">
        <v>174</v>
      </c>
      <c r="K57" s="435" t="s">
        <v>29</v>
      </c>
      <c r="L57" s="434" t="s">
        <v>173</v>
      </c>
      <c r="M57" s="435" t="s">
        <v>29</v>
      </c>
      <c r="N57" s="436" t="s">
        <v>174</v>
      </c>
      <c r="O57" s="435" t="s">
        <v>29</v>
      </c>
      <c r="P57" s="437" t="s">
        <v>173</v>
      </c>
      <c r="Q57" s="435" t="s">
        <v>29</v>
      </c>
      <c r="R57" s="435" t="s">
        <v>174</v>
      </c>
      <c r="S57" s="435" t="s">
        <v>29</v>
      </c>
      <c r="T57" s="438"/>
      <c r="U57" s="437" t="s">
        <v>173</v>
      </c>
      <c r="V57" s="435" t="s">
        <v>29</v>
      </c>
      <c r="W57" s="435" t="s">
        <v>174</v>
      </c>
      <c r="X57" s="435" t="s">
        <v>29</v>
      </c>
      <c r="Y57" s="437" t="s">
        <v>31</v>
      </c>
      <c r="Z57" s="435" t="s">
        <v>29</v>
      </c>
      <c r="AA57" s="437" t="s">
        <v>173</v>
      </c>
      <c r="AB57" s="437" t="s">
        <v>174</v>
      </c>
      <c r="AC57" s="437" t="s">
        <v>173</v>
      </c>
      <c r="AD57" s="435" t="s">
        <v>29</v>
      </c>
      <c r="AE57" s="437" t="s">
        <v>174</v>
      </c>
      <c r="AF57" s="435" t="s">
        <v>29</v>
      </c>
      <c r="AG57" s="437" t="s">
        <v>173</v>
      </c>
      <c r="AH57" s="437" t="s">
        <v>174</v>
      </c>
      <c r="AI57" s="437" t="s">
        <v>173</v>
      </c>
      <c r="AJ57" s="435" t="s">
        <v>29</v>
      </c>
      <c r="AK57" s="437" t="s">
        <v>174</v>
      </c>
      <c r="AL57" s="435" t="s">
        <v>29</v>
      </c>
      <c r="AM57" s="432"/>
      <c r="AN57" s="437" t="s">
        <v>173</v>
      </c>
      <c r="AO57" s="435" t="s">
        <v>29</v>
      </c>
      <c r="AP57" s="435" t="s">
        <v>174</v>
      </c>
      <c r="AQ57" s="435" t="s">
        <v>29</v>
      </c>
      <c r="AR57" s="437" t="s">
        <v>173</v>
      </c>
      <c r="AS57" s="435" t="s">
        <v>29</v>
      </c>
      <c r="AT57" s="435" t="s">
        <v>174</v>
      </c>
      <c r="AU57" s="435" t="s">
        <v>29</v>
      </c>
      <c r="AV57" s="437" t="s">
        <v>173</v>
      </c>
      <c r="AW57" s="435" t="s">
        <v>29</v>
      </c>
      <c r="AX57" s="435" t="s">
        <v>174</v>
      </c>
      <c r="AY57" s="435" t="s">
        <v>29</v>
      </c>
      <c r="AZ57" s="437" t="s">
        <v>173</v>
      </c>
      <c r="BA57" s="435" t="s">
        <v>29</v>
      </c>
      <c r="BB57" s="435" t="s">
        <v>174</v>
      </c>
      <c r="BC57" s="439" t="s">
        <v>29</v>
      </c>
      <c r="BD57" s="440"/>
      <c r="BE57" s="437" t="s">
        <v>173</v>
      </c>
      <c r="BF57" s="437" t="s">
        <v>174</v>
      </c>
      <c r="BG57" s="437" t="s">
        <v>173</v>
      </c>
      <c r="BH57" s="437" t="s">
        <v>174</v>
      </c>
      <c r="BI57" s="441"/>
      <c r="BJ57" s="442"/>
      <c r="BK57" s="437" t="s">
        <v>173</v>
      </c>
      <c r="BL57" s="437" t="s">
        <v>174</v>
      </c>
      <c r="BM57" s="437" t="s">
        <v>173</v>
      </c>
      <c r="BN57" s="443" t="s">
        <v>174</v>
      </c>
    </row>
    <row r="58" spans="1:66" ht="12">
      <c r="A58" s="403">
        <f>A53+1</f>
        <v>20</v>
      </c>
      <c r="B58" s="404" t="s">
        <v>51</v>
      </c>
      <c r="C58" s="403">
        <v>121</v>
      </c>
      <c r="D58" s="403"/>
      <c r="E58" s="405">
        <f t="shared" si="7"/>
        <v>18.471999999999998</v>
      </c>
      <c r="F58" s="405">
        <f t="shared" si="8"/>
        <v>18.471999999999998</v>
      </c>
      <c r="G58" s="403"/>
      <c r="H58" s="406"/>
      <c r="I58" s="406"/>
      <c r="J58" s="406"/>
      <c r="K58" s="405"/>
      <c r="L58" s="407">
        <v>0.015</v>
      </c>
      <c r="M58" s="406">
        <f>L58*360</f>
        <v>5.3999999999999995</v>
      </c>
      <c r="N58" s="407">
        <v>0.015</v>
      </c>
      <c r="O58" s="405">
        <f>N58*360</f>
        <v>5.3999999999999995</v>
      </c>
      <c r="P58" s="408"/>
      <c r="Q58" s="408"/>
      <c r="R58" s="408"/>
      <c r="S58" s="408"/>
      <c r="T58" s="408"/>
      <c r="U58" s="407"/>
      <c r="V58" s="406"/>
      <c r="W58" s="406"/>
      <c r="X58" s="406"/>
      <c r="Y58" s="409"/>
      <c r="Z58" s="406"/>
      <c r="AA58" s="409">
        <v>8</v>
      </c>
      <c r="AB58" s="409">
        <v>8</v>
      </c>
      <c r="AC58" s="406"/>
      <c r="AD58" s="406"/>
      <c r="AE58" s="409"/>
      <c r="AF58" s="406"/>
      <c r="AG58" s="409">
        <v>12</v>
      </c>
      <c r="AH58" s="409">
        <v>5</v>
      </c>
      <c r="AI58" s="409"/>
      <c r="AJ58" s="406"/>
      <c r="AK58" s="409"/>
      <c r="AL58" s="406"/>
      <c r="AM58" s="406"/>
      <c r="AN58" s="406"/>
      <c r="AO58" s="406"/>
      <c r="AP58" s="406"/>
      <c r="AQ58" s="406"/>
      <c r="AR58" s="403" t="s">
        <v>143</v>
      </c>
      <c r="AS58" s="406">
        <v>13.072</v>
      </c>
      <c r="AT58" s="403" t="s">
        <v>143</v>
      </c>
      <c r="AU58" s="406">
        <v>13.072</v>
      </c>
      <c r="AV58" s="403"/>
      <c r="AW58" s="403"/>
      <c r="AX58" s="403"/>
      <c r="AY58" s="403"/>
      <c r="AZ58" s="406"/>
      <c r="BA58" s="406"/>
      <c r="BB58" s="406"/>
      <c r="BC58" s="406"/>
      <c r="BD58" s="410"/>
      <c r="BE58" s="411">
        <v>2</v>
      </c>
      <c r="BF58" s="411">
        <v>2</v>
      </c>
      <c r="BG58" s="411">
        <v>2</v>
      </c>
      <c r="BH58" s="411">
        <v>2</v>
      </c>
      <c r="BI58" s="409"/>
      <c r="BJ58" s="409"/>
      <c r="BK58" s="403"/>
      <c r="BL58" s="409"/>
      <c r="BM58" s="409">
        <v>1</v>
      </c>
      <c r="BN58" s="412">
        <v>1</v>
      </c>
    </row>
    <row r="59" spans="1:66" ht="12">
      <c r="A59" s="356">
        <f t="shared" si="9"/>
        <v>21</v>
      </c>
      <c r="B59" s="357" t="s">
        <v>51</v>
      </c>
      <c r="C59" s="356">
        <v>123</v>
      </c>
      <c r="D59" s="356"/>
      <c r="E59" s="342">
        <f t="shared" si="7"/>
        <v>0</v>
      </c>
      <c r="F59" s="342">
        <f t="shared" si="8"/>
        <v>0</v>
      </c>
      <c r="G59" s="356"/>
      <c r="H59" s="344"/>
      <c r="I59" s="344"/>
      <c r="J59" s="344"/>
      <c r="K59" s="344"/>
      <c r="L59" s="343"/>
      <c r="M59" s="344"/>
      <c r="N59" s="343"/>
      <c r="O59" s="344"/>
      <c r="P59" s="358"/>
      <c r="Q59" s="358"/>
      <c r="R59" s="358"/>
      <c r="S59" s="358"/>
      <c r="T59" s="358"/>
      <c r="U59" s="343"/>
      <c r="V59" s="344"/>
      <c r="W59" s="344"/>
      <c r="X59" s="344"/>
      <c r="Y59" s="345"/>
      <c r="Z59" s="344"/>
      <c r="AA59" s="345"/>
      <c r="AB59" s="345"/>
      <c r="AC59" s="344"/>
      <c r="AD59" s="344"/>
      <c r="AE59" s="345"/>
      <c r="AF59" s="344"/>
      <c r="AG59" s="345"/>
      <c r="AH59" s="345"/>
      <c r="AI59" s="344"/>
      <c r="AJ59" s="344"/>
      <c r="AK59" s="345"/>
      <c r="AL59" s="344"/>
      <c r="AM59" s="344"/>
      <c r="AN59" s="344"/>
      <c r="AO59" s="344"/>
      <c r="AP59" s="344"/>
      <c r="AQ59" s="344"/>
      <c r="AR59" s="356"/>
      <c r="AS59" s="344"/>
      <c r="AT59" s="344"/>
      <c r="AU59" s="344"/>
      <c r="AV59" s="356"/>
      <c r="AW59" s="356"/>
      <c r="AX59" s="356"/>
      <c r="AY59" s="356"/>
      <c r="AZ59" s="344"/>
      <c r="BA59" s="344"/>
      <c r="BB59" s="344"/>
      <c r="BC59" s="344"/>
      <c r="BD59" s="359"/>
      <c r="BE59" s="360"/>
      <c r="BF59" s="360"/>
      <c r="BG59" s="360">
        <v>1</v>
      </c>
      <c r="BH59" s="360">
        <v>1</v>
      </c>
      <c r="BI59" s="345"/>
      <c r="BJ59" s="345"/>
      <c r="BK59" s="356"/>
      <c r="BL59" s="345" t="s">
        <v>176</v>
      </c>
      <c r="BM59" s="345">
        <v>1</v>
      </c>
      <c r="BN59" s="347">
        <v>1</v>
      </c>
    </row>
    <row r="60" spans="1:66" ht="12">
      <c r="A60" s="363">
        <f>A59</f>
        <v>21</v>
      </c>
      <c r="B60" s="364" t="s">
        <v>177</v>
      </c>
      <c r="C60" s="365"/>
      <c r="D60" s="365"/>
      <c r="E60" s="352">
        <f>SUM(E35:E59)</f>
        <v>189.876</v>
      </c>
      <c r="F60" s="363">
        <f>SUM(F35:F59)</f>
        <v>213.15400000000002</v>
      </c>
      <c r="G60" s="363">
        <f>SUM(G35:G59)</f>
        <v>0</v>
      </c>
      <c r="H60" s="363">
        <f>SUM(H35:H59)</f>
        <v>0.032</v>
      </c>
      <c r="I60" s="352">
        <f>SUM(I35:I59)</f>
        <v>26.900000000000002</v>
      </c>
      <c r="J60" s="354">
        <f>SUM(J35:J59)</f>
        <v>0.09</v>
      </c>
      <c r="K60" s="354">
        <f>SUM(K35:K59)</f>
        <v>42.75</v>
      </c>
      <c r="L60" s="353">
        <f>SUM(L35:L59)</f>
        <v>0.040999999999999995</v>
      </c>
      <c r="M60" s="352">
        <f>SUM(M35:M59)</f>
        <v>14.760000000000002</v>
      </c>
      <c r="N60" s="353">
        <f>SUM(N35:N59)</f>
        <v>0.049999999999999996</v>
      </c>
      <c r="O60" s="352">
        <f>SUM(O35:O59)</f>
        <v>18</v>
      </c>
      <c r="P60" s="363">
        <f>SUM(P35:P59)</f>
        <v>0</v>
      </c>
      <c r="Q60" s="363"/>
      <c r="R60" s="352">
        <f>SUM(R35:R59)</f>
        <v>0</v>
      </c>
      <c r="S60" s="352">
        <f>SUM(S35:S59)</f>
        <v>0</v>
      </c>
      <c r="T60" s="352">
        <f>SUM(T35:T59)</f>
        <v>0</v>
      </c>
      <c r="U60" s="353">
        <f>SUM(U35:U59)</f>
        <v>0.022</v>
      </c>
      <c r="V60" s="354">
        <f>SUM(V35:V59)</f>
        <v>23.034</v>
      </c>
      <c r="W60" s="354">
        <f>SUM(W35:W59)</f>
        <v>0.026</v>
      </c>
      <c r="X60" s="352">
        <f>SUM(X35:X59)</f>
        <v>27.222</v>
      </c>
      <c r="Y60" s="349">
        <f>SUM(Y35:Y59)</f>
        <v>0</v>
      </c>
      <c r="Z60" s="352">
        <f>SUM(Z35:Z59)</f>
        <v>0</v>
      </c>
      <c r="AA60" s="363">
        <f>SUM(AA35:AA59)</f>
        <v>54</v>
      </c>
      <c r="AB60" s="349">
        <f>SUM(AB35:AB59)</f>
        <v>54</v>
      </c>
      <c r="AC60" s="363">
        <f>SUM(AC35:AC59)</f>
        <v>0</v>
      </c>
      <c r="AD60" s="363">
        <f>SUM(AD35:AD59)</f>
        <v>0</v>
      </c>
      <c r="AE60" s="349">
        <f>SUM(AE35:AE59)</f>
        <v>0</v>
      </c>
      <c r="AF60" s="352">
        <f>SUM(AF35:AF59)</f>
        <v>0</v>
      </c>
      <c r="AG60" s="363">
        <f>SUM(AG35:AG59)</f>
        <v>165</v>
      </c>
      <c r="AH60" s="349">
        <f>SUM(AH35:AH59)</f>
        <v>48</v>
      </c>
      <c r="AI60" s="363">
        <f>SUM(AI35:AI59)</f>
        <v>0</v>
      </c>
      <c r="AJ60" s="363">
        <f>SUM(AJ35:AJ59)</f>
        <v>0</v>
      </c>
      <c r="AK60" s="349">
        <f>SUM(AK35:AK59)</f>
        <v>0</v>
      </c>
      <c r="AL60" s="352">
        <f>SUM(AL35:AL59)</f>
        <v>0</v>
      </c>
      <c r="AM60" s="352">
        <f>SUM(AM35:AM59)</f>
        <v>0</v>
      </c>
      <c r="AN60" s="363">
        <f>SUM(AN35:AN59)</f>
        <v>0.01</v>
      </c>
      <c r="AO60" s="354">
        <f>SUM(AO35:AO59)</f>
        <v>21.528</v>
      </c>
      <c r="AP60" s="352">
        <f>SUM(AP35:AP59)</f>
        <v>0.01</v>
      </c>
      <c r="AQ60" s="352">
        <f>SUM(AQ35:AQ59)</f>
        <v>21.528</v>
      </c>
      <c r="AR60" s="354">
        <v>0.37</v>
      </c>
      <c r="AS60" s="354">
        <f>SUM(AS35:AS59)</f>
        <v>80.03800000000001</v>
      </c>
      <c r="AT60" s="352">
        <f>SUM(AT35:AT59)</f>
        <v>0</v>
      </c>
      <c r="AU60" s="352">
        <f>SUM(AU35:AU59)</f>
        <v>80.03800000000001</v>
      </c>
      <c r="AV60" s="363">
        <f>SUM(AV35:AV59)</f>
        <v>0</v>
      </c>
      <c r="AW60" s="354">
        <v>11.808</v>
      </c>
      <c r="AX60" s="352">
        <f>SUM(AX35:AX59)</f>
        <v>0</v>
      </c>
      <c r="AY60" s="352">
        <f>SUM(AY35:AY59)</f>
        <v>0</v>
      </c>
      <c r="AZ60" s="363">
        <f>SUM(AZ35:AZ59)</f>
        <v>0</v>
      </c>
      <c r="BA60" s="354">
        <f>SUM(BA35:BA59)</f>
        <v>0</v>
      </c>
      <c r="BB60" s="352">
        <f>SUM(BB35:BB59)</f>
        <v>0</v>
      </c>
      <c r="BC60" s="352">
        <f>SUM(BC35:BC59)</f>
        <v>0</v>
      </c>
      <c r="BD60" s="363">
        <f>SUM(BD35:BD59)</f>
        <v>0</v>
      </c>
      <c r="BE60" s="349">
        <f>SUM(BE35:BE59)</f>
        <v>20</v>
      </c>
      <c r="BF60" s="349">
        <f>SUM(BF35:BF59)</f>
        <v>17</v>
      </c>
      <c r="BG60" s="349">
        <f>SUM(BG35:BG59)</f>
        <v>62</v>
      </c>
      <c r="BH60" s="349">
        <f>SUM(BH35:BH59)</f>
        <v>62</v>
      </c>
      <c r="BI60" s="349">
        <f>SUM(BI35:BI59)</f>
        <v>0</v>
      </c>
      <c r="BJ60" s="349">
        <f>SUM(BJ35:BJ59)</f>
        <v>0</v>
      </c>
      <c r="BK60" s="363">
        <f>SUM(BK35:BK59)</f>
        <v>0</v>
      </c>
      <c r="BL60" s="349">
        <f>SUM(BL35:BL59)</f>
        <v>0</v>
      </c>
      <c r="BM60" s="349">
        <f>SUM(BM35:BM59)</f>
        <v>21</v>
      </c>
      <c r="BN60" s="349">
        <f>SUM(BN35:BN59)</f>
        <v>20</v>
      </c>
    </row>
    <row r="61" spans="1:66" ht="12">
      <c r="A61" s="340">
        <v>1</v>
      </c>
      <c r="B61" s="341" t="s">
        <v>44</v>
      </c>
      <c r="C61" s="345">
        <v>44</v>
      </c>
      <c r="D61" s="340"/>
      <c r="E61" s="342">
        <f aca="true" t="shared" si="10" ref="E61:E100">I61+M61+Q61+V61+Z61+AD61+AJ61+AO61+AS61+AW61+BA61</f>
        <v>0</v>
      </c>
      <c r="F61" s="342">
        <f aca="true" t="shared" si="11" ref="F61:F100">K61+O61+S61+X61+AF61+AL61+AQ61+AU61+AY61+BC61</f>
        <v>66.5</v>
      </c>
      <c r="G61" s="342"/>
      <c r="H61" s="344"/>
      <c r="I61" s="342"/>
      <c r="J61" s="343">
        <v>0.14</v>
      </c>
      <c r="K61" s="342">
        <f>J61*475</f>
        <v>66.5</v>
      </c>
      <c r="L61" s="343"/>
      <c r="M61" s="344"/>
      <c r="N61" s="343"/>
      <c r="O61" s="344"/>
      <c r="P61" s="358"/>
      <c r="Q61" s="358"/>
      <c r="R61" s="358"/>
      <c r="S61" s="358"/>
      <c r="T61" s="358"/>
      <c r="U61" s="343"/>
      <c r="V61" s="342"/>
      <c r="W61" s="342"/>
      <c r="X61" s="342"/>
      <c r="Y61" s="345"/>
      <c r="Z61" s="340"/>
      <c r="AA61" s="340">
        <v>36</v>
      </c>
      <c r="AB61" s="345">
        <v>36</v>
      </c>
      <c r="AC61" s="340"/>
      <c r="AD61" s="340"/>
      <c r="AE61" s="345"/>
      <c r="AF61" s="340"/>
      <c r="AG61" s="340"/>
      <c r="AH61" s="345"/>
      <c r="AI61" s="344"/>
      <c r="AJ61" s="342"/>
      <c r="AK61" s="345"/>
      <c r="AL61" s="342"/>
      <c r="AM61" s="340"/>
      <c r="AN61" s="344"/>
      <c r="AO61" s="342"/>
      <c r="AP61" s="342"/>
      <c r="AQ61" s="342"/>
      <c r="AR61" s="344"/>
      <c r="AS61" s="342"/>
      <c r="AT61" s="342"/>
      <c r="AU61" s="342"/>
      <c r="AV61" s="344"/>
      <c r="AW61" s="342"/>
      <c r="AX61" s="342"/>
      <c r="AY61" s="342"/>
      <c r="AZ61" s="344"/>
      <c r="BA61" s="346"/>
      <c r="BB61" s="346"/>
      <c r="BC61" s="346"/>
      <c r="BD61" s="367"/>
      <c r="BE61" s="360">
        <v>1</v>
      </c>
      <c r="BF61" s="360">
        <v>1</v>
      </c>
      <c r="BG61" s="360">
        <v>1</v>
      </c>
      <c r="BH61" s="360">
        <v>1</v>
      </c>
      <c r="BI61" s="345"/>
      <c r="BJ61" s="345"/>
      <c r="BK61" s="340"/>
      <c r="BL61" s="345"/>
      <c r="BM61" s="345">
        <v>1</v>
      </c>
      <c r="BN61" s="347">
        <v>1</v>
      </c>
    </row>
    <row r="62" spans="1:66" ht="12">
      <c r="A62" s="340">
        <f aca="true" t="shared" si="12" ref="A62:A100">A61+1</f>
        <v>2</v>
      </c>
      <c r="B62" s="341" t="s">
        <v>44</v>
      </c>
      <c r="C62" s="345">
        <v>46</v>
      </c>
      <c r="D62" s="340"/>
      <c r="E62" s="342">
        <f t="shared" si="10"/>
        <v>1.54975</v>
      </c>
      <c r="F62" s="342">
        <f t="shared" si="11"/>
        <v>3.528</v>
      </c>
      <c r="G62" s="342"/>
      <c r="H62" s="344"/>
      <c r="I62" s="342"/>
      <c r="J62" s="343"/>
      <c r="K62" s="342"/>
      <c r="L62" s="343">
        <f>0.0005+0.003</f>
        <v>0.0035</v>
      </c>
      <c r="M62" s="344">
        <f>L62*201.5+3*0.2815</f>
        <v>1.54975</v>
      </c>
      <c r="N62" s="343">
        <v>0.0098</v>
      </c>
      <c r="O62" s="344">
        <f>N62*360</f>
        <v>3.528</v>
      </c>
      <c r="P62" s="358"/>
      <c r="Q62" s="358"/>
      <c r="R62" s="358"/>
      <c r="S62" s="358"/>
      <c r="T62" s="358"/>
      <c r="U62" s="343"/>
      <c r="V62" s="342"/>
      <c r="W62" s="342"/>
      <c r="X62" s="342"/>
      <c r="Y62" s="345"/>
      <c r="Z62" s="340"/>
      <c r="AA62" s="340">
        <v>2</v>
      </c>
      <c r="AB62" s="345">
        <v>2</v>
      </c>
      <c r="AC62" s="340"/>
      <c r="AD62" s="340"/>
      <c r="AE62" s="345"/>
      <c r="AF62" s="340"/>
      <c r="AG62" s="340">
        <v>3.4</v>
      </c>
      <c r="AH62" s="340">
        <v>3.4</v>
      </c>
      <c r="AI62" s="344"/>
      <c r="AJ62" s="342"/>
      <c r="AK62" s="345"/>
      <c r="AL62" s="342"/>
      <c r="AM62" s="340"/>
      <c r="AN62" s="344"/>
      <c r="AO62" s="342"/>
      <c r="AP62" s="342"/>
      <c r="AQ62" s="342"/>
      <c r="AR62" s="344"/>
      <c r="AS62" s="342"/>
      <c r="AT62" s="342"/>
      <c r="AU62" s="342"/>
      <c r="AV62" s="344"/>
      <c r="AW62" s="342"/>
      <c r="AX62" s="342"/>
      <c r="AY62" s="342"/>
      <c r="AZ62" s="344"/>
      <c r="BA62" s="346"/>
      <c r="BB62" s="346"/>
      <c r="BC62" s="346"/>
      <c r="BD62" s="367"/>
      <c r="BE62" s="360"/>
      <c r="BF62" s="360"/>
      <c r="BG62" s="360">
        <v>1</v>
      </c>
      <c r="BH62" s="360">
        <v>1</v>
      </c>
      <c r="BI62" s="345"/>
      <c r="BJ62" s="345"/>
      <c r="BK62" s="340"/>
      <c r="BL62" s="345"/>
      <c r="BM62" s="345">
        <v>1</v>
      </c>
      <c r="BN62" s="347">
        <v>1</v>
      </c>
    </row>
    <row r="63" spans="1:66" ht="12">
      <c r="A63" s="340">
        <f t="shared" si="12"/>
        <v>3</v>
      </c>
      <c r="B63" s="341" t="s">
        <v>44</v>
      </c>
      <c r="C63" s="345">
        <v>48</v>
      </c>
      <c r="D63" s="340"/>
      <c r="E63" s="342">
        <f t="shared" si="10"/>
        <v>0</v>
      </c>
      <c r="F63" s="342">
        <f t="shared" si="11"/>
        <v>0</v>
      </c>
      <c r="G63" s="342"/>
      <c r="H63" s="344"/>
      <c r="I63" s="342"/>
      <c r="J63" s="343"/>
      <c r="K63" s="342"/>
      <c r="L63" s="343"/>
      <c r="M63" s="344"/>
      <c r="N63" s="343"/>
      <c r="O63" s="344"/>
      <c r="P63" s="358"/>
      <c r="Q63" s="358"/>
      <c r="R63" s="358"/>
      <c r="S63" s="358"/>
      <c r="T63" s="358"/>
      <c r="U63" s="343"/>
      <c r="V63" s="342"/>
      <c r="W63" s="342"/>
      <c r="X63" s="342"/>
      <c r="Y63" s="345"/>
      <c r="Z63" s="340"/>
      <c r="AA63" s="340">
        <v>1</v>
      </c>
      <c r="AB63" s="345">
        <v>1</v>
      </c>
      <c r="AC63" s="340"/>
      <c r="AD63" s="340"/>
      <c r="AE63" s="345"/>
      <c r="AF63" s="340"/>
      <c r="AG63" s="340">
        <v>2.2</v>
      </c>
      <c r="AH63" s="340">
        <v>2.2</v>
      </c>
      <c r="AI63" s="344"/>
      <c r="AJ63" s="342"/>
      <c r="AK63" s="345"/>
      <c r="AL63" s="342"/>
      <c r="AM63" s="340"/>
      <c r="AN63" s="344"/>
      <c r="AO63" s="342"/>
      <c r="AP63" s="342"/>
      <c r="AQ63" s="342"/>
      <c r="AR63" s="344"/>
      <c r="AS63" s="342"/>
      <c r="AT63" s="342"/>
      <c r="AU63" s="342"/>
      <c r="AV63" s="344"/>
      <c r="AW63" s="342"/>
      <c r="AX63" s="342"/>
      <c r="AY63" s="342"/>
      <c r="AZ63" s="344"/>
      <c r="BA63" s="346"/>
      <c r="BB63" s="346"/>
      <c r="BC63" s="346"/>
      <c r="BD63" s="367"/>
      <c r="BE63" s="360"/>
      <c r="BF63" s="360"/>
      <c r="BG63" s="360">
        <v>1</v>
      </c>
      <c r="BH63" s="360">
        <v>1</v>
      </c>
      <c r="BI63" s="345"/>
      <c r="BJ63" s="345"/>
      <c r="BK63" s="340"/>
      <c r="BL63" s="345"/>
      <c r="BM63" s="345">
        <v>1</v>
      </c>
      <c r="BN63" s="347">
        <v>1</v>
      </c>
    </row>
    <row r="64" spans="1:66" ht="12">
      <c r="A64" s="340">
        <f t="shared" si="12"/>
        <v>4</v>
      </c>
      <c r="B64" s="341" t="s">
        <v>44</v>
      </c>
      <c r="C64" s="345">
        <v>50</v>
      </c>
      <c r="D64" s="340"/>
      <c r="E64" s="342">
        <f t="shared" si="10"/>
        <v>0</v>
      </c>
      <c r="F64" s="342">
        <f t="shared" si="11"/>
        <v>0</v>
      </c>
      <c r="G64" s="342"/>
      <c r="H64" s="344"/>
      <c r="I64" s="342"/>
      <c r="J64" s="343"/>
      <c r="K64" s="342"/>
      <c r="L64" s="343"/>
      <c r="M64" s="344"/>
      <c r="N64" s="343"/>
      <c r="O64" s="344"/>
      <c r="P64" s="358"/>
      <c r="Q64" s="358"/>
      <c r="R64" s="358"/>
      <c r="S64" s="358"/>
      <c r="T64" s="358"/>
      <c r="U64" s="343"/>
      <c r="V64" s="342"/>
      <c r="W64" s="342"/>
      <c r="X64" s="342"/>
      <c r="Y64" s="345"/>
      <c r="Z64" s="340"/>
      <c r="AA64" s="340">
        <v>1</v>
      </c>
      <c r="AB64" s="345">
        <v>1</v>
      </c>
      <c r="AC64" s="340"/>
      <c r="AD64" s="340"/>
      <c r="AE64" s="345"/>
      <c r="AF64" s="340"/>
      <c r="AG64" s="340">
        <v>2.2</v>
      </c>
      <c r="AH64" s="340">
        <v>2.2</v>
      </c>
      <c r="AI64" s="344"/>
      <c r="AJ64" s="342"/>
      <c r="AK64" s="345"/>
      <c r="AL64" s="342"/>
      <c r="AM64" s="340"/>
      <c r="AN64" s="344"/>
      <c r="AO64" s="342"/>
      <c r="AP64" s="342"/>
      <c r="AQ64" s="342"/>
      <c r="AR64" s="344"/>
      <c r="AS64" s="342"/>
      <c r="AT64" s="342"/>
      <c r="AU64" s="342"/>
      <c r="AV64" s="344"/>
      <c r="AW64" s="342"/>
      <c r="AX64" s="342"/>
      <c r="AY64" s="342"/>
      <c r="AZ64" s="344"/>
      <c r="BA64" s="346"/>
      <c r="BB64" s="346"/>
      <c r="BC64" s="346"/>
      <c r="BD64" s="367"/>
      <c r="BE64" s="360"/>
      <c r="BF64" s="360"/>
      <c r="BG64" s="360">
        <v>1</v>
      </c>
      <c r="BH64" s="360">
        <v>1</v>
      </c>
      <c r="BI64" s="345"/>
      <c r="BJ64" s="345"/>
      <c r="BK64" s="340"/>
      <c r="BL64" s="345"/>
      <c r="BM64" s="345">
        <v>1</v>
      </c>
      <c r="BN64" s="347">
        <v>1</v>
      </c>
    </row>
    <row r="65" spans="1:66" ht="12">
      <c r="A65" s="340">
        <f t="shared" si="12"/>
        <v>5</v>
      </c>
      <c r="B65" s="341" t="s">
        <v>44</v>
      </c>
      <c r="C65" s="345">
        <v>54</v>
      </c>
      <c r="D65" s="340"/>
      <c r="E65" s="342">
        <f t="shared" si="10"/>
        <v>0</v>
      </c>
      <c r="F65" s="342">
        <f t="shared" si="11"/>
        <v>0</v>
      </c>
      <c r="G65" s="342"/>
      <c r="H65" s="344"/>
      <c r="I65" s="342"/>
      <c r="J65" s="343"/>
      <c r="K65" s="342"/>
      <c r="L65" s="343"/>
      <c r="M65" s="344"/>
      <c r="N65" s="343"/>
      <c r="O65" s="344"/>
      <c r="P65" s="358"/>
      <c r="Q65" s="358"/>
      <c r="R65" s="358"/>
      <c r="S65" s="358"/>
      <c r="T65" s="358"/>
      <c r="U65" s="343"/>
      <c r="V65" s="342"/>
      <c r="W65" s="342"/>
      <c r="X65" s="342"/>
      <c r="Y65" s="345"/>
      <c r="Z65" s="340"/>
      <c r="AA65" s="340">
        <v>1</v>
      </c>
      <c r="AB65" s="345">
        <v>1</v>
      </c>
      <c r="AC65" s="340"/>
      <c r="AD65" s="340"/>
      <c r="AE65" s="345"/>
      <c r="AF65" s="340"/>
      <c r="AG65" s="340">
        <v>3.4</v>
      </c>
      <c r="AH65" s="340">
        <v>3.4</v>
      </c>
      <c r="AI65" s="344"/>
      <c r="AJ65" s="342"/>
      <c r="AK65" s="345"/>
      <c r="AL65" s="342"/>
      <c r="AM65" s="340"/>
      <c r="AN65" s="344"/>
      <c r="AO65" s="342"/>
      <c r="AP65" s="342"/>
      <c r="AQ65" s="342"/>
      <c r="AR65" s="344"/>
      <c r="AS65" s="342"/>
      <c r="AT65" s="342"/>
      <c r="AU65" s="342"/>
      <c r="AV65" s="344"/>
      <c r="AW65" s="342"/>
      <c r="AX65" s="342"/>
      <c r="AY65" s="342"/>
      <c r="AZ65" s="344"/>
      <c r="BA65" s="346"/>
      <c r="BB65" s="346"/>
      <c r="BC65" s="346"/>
      <c r="BD65" s="367"/>
      <c r="BE65" s="360"/>
      <c r="BF65" s="360"/>
      <c r="BG65" s="360">
        <v>1</v>
      </c>
      <c r="BH65" s="360">
        <v>1</v>
      </c>
      <c r="BI65" s="345"/>
      <c r="BJ65" s="345"/>
      <c r="BK65" s="340"/>
      <c r="BL65" s="345"/>
      <c r="BM65" s="345">
        <v>1</v>
      </c>
      <c r="BN65" s="347">
        <v>1</v>
      </c>
    </row>
    <row r="66" spans="1:66" ht="12">
      <c r="A66" s="340">
        <f t="shared" si="12"/>
        <v>6</v>
      </c>
      <c r="B66" s="341" t="s">
        <v>44</v>
      </c>
      <c r="C66" s="345">
        <v>56</v>
      </c>
      <c r="D66" s="340"/>
      <c r="E66" s="342">
        <f t="shared" si="10"/>
        <v>0</v>
      </c>
      <c r="F66" s="342">
        <f t="shared" si="11"/>
        <v>0</v>
      </c>
      <c r="G66" s="342"/>
      <c r="H66" s="344"/>
      <c r="I66" s="342"/>
      <c r="J66" s="343"/>
      <c r="K66" s="342"/>
      <c r="L66" s="343"/>
      <c r="M66" s="344"/>
      <c r="N66" s="343"/>
      <c r="O66" s="344"/>
      <c r="P66" s="358"/>
      <c r="Q66" s="358"/>
      <c r="R66" s="358"/>
      <c r="S66" s="358"/>
      <c r="T66" s="358"/>
      <c r="U66" s="343"/>
      <c r="V66" s="342"/>
      <c r="W66" s="342"/>
      <c r="X66" s="342"/>
      <c r="Y66" s="345"/>
      <c r="Z66" s="340"/>
      <c r="AA66" s="340"/>
      <c r="AB66" s="345"/>
      <c r="AC66" s="340"/>
      <c r="AD66" s="340"/>
      <c r="AE66" s="345"/>
      <c r="AF66" s="340"/>
      <c r="AG66" s="340"/>
      <c r="AH66" s="340"/>
      <c r="AI66" s="344"/>
      <c r="AJ66" s="342"/>
      <c r="AK66" s="345"/>
      <c r="AL66" s="342"/>
      <c r="AM66" s="340"/>
      <c r="AN66" s="344"/>
      <c r="AO66" s="342"/>
      <c r="AP66" s="342"/>
      <c r="AQ66" s="342"/>
      <c r="AR66" s="344"/>
      <c r="AS66" s="342"/>
      <c r="AT66" s="342"/>
      <c r="AU66" s="342"/>
      <c r="AV66" s="344"/>
      <c r="AW66" s="342"/>
      <c r="AX66" s="342"/>
      <c r="AY66" s="342"/>
      <c r="AZ66" s="344"/>
      <c r="BA66" s="346"/>
      <c r="BB66" s="346"/>
      <c r="BC66" s="346"/>
      <c r="BD66" s="367"/>
      <c r="BE66" s="360"/>
      <c r="BF66" s="360"/>
      <c r="BG66" s="360">
        <v>1</v>
      </c>
      <c r="BH66" s="360">
        <v>1</v>
      </c>
      <c r="BI66" s="345"/>
      <c r="BJ66" s="345"/>
      <c r="BK66" s="340"/>
      <c r="BL66" s="345"/>
      <c r="BM66" s="345">
        <v>1</v>
      </c>
      <c r="BN66" s="347">
        <v>1</v>
      </c>
    </row>
    <row r="67" spans="1:66" ht="12">
      <c r="A67" s="340">
        <f t="shared" si="12"/>
        <v>7</v>
      </c>
      <c r="B67" s="341" t="s">
        <v>62</v>
      </c>
      <c r="C67" s="345">
        <v>58</v>
      </c>
      <c r="D67" s="340"/>
      <c r="E67" s="342">
        <f t="shared" si="10"/>
        <v>16.9305</v>
      </c>
      <c r="F67" s="342">
        <f t="shared" si="11"/>
        <v>14.796</v>
      </c>
      <c r="G67" s="342"/>
      <c r="H67" s="344"/>
      <c r="I67" s="342"/>
      <c r="J67" s="344"/>
      <c r="K67" s="342"/>
      <c r="L67" s="343">
        <f>0.0328+0.0054</f>
        <v>0.038200000000000005</v>
      </c>
      <c r="M67" s="344">
        <f>L67*201.5+32.8*0.2815</f>
        <v>16.9305</v>
      </c>
      <c r="N67" s="343">
        <v>0.0411</v>
      </c>
      <c r="O67" s="344">
        <f>N67*360</f>
        <v>14.796</v>
      </c>
      <c r="P67" s="358"/>
      <c r="Q67" s="358"/>
      <c r="R67" s="358"/>
      <c r="S67" s="358"/>
      <c r="T67" s="358"/>
      <c r="U67" s="343"/>
      <c r="V67" s="342"/>
      <c r="W67" s="342"/>
      <c r="X67" s="342"/>
      <c r="Y67" s="345"/>
      <c r="Z67" s="340"/>
      <c r="AA67" s="340"/>
      <c r="AB67" s="345"/>
      <c r="AC67" s="340"/>
      <c r="AD67" s="340"/>
      <c r="AE67" s="345"/>
      <c r="AF67" s="340"/>
      <c r="AG67" s="340"/>
      <c r="AH67" s="340"/>
      <c r="AI67" s="344"/>
      <c r="AJ67" s="342"/>
      <c r="AK67" s="345"/>
      <c r="AL67" s="342"/>
      <c r="AM67" s="340"/>
      <c r="AN67" s="344"/>
      <c r="AO67" s="342"/>
      <c r="AP67" s="342"/>
      <c r="AQ67" s="342"/>
      <c r="AR67" s="344"/>
      <c r="AS67" s="342"/>
      <c r="AT67" s="342"/>
      <c r="AU67" s="342"/>
      <c r="AV67" s="344"/>
      <c r="AW67" s="342"/>
      <c r="AX67" s="342"/>
      <c r="AY67" s="342"/>
      <c r="AZ67" s="344"/>
      <c r="BA67" s="346"/>
      <c r="BB67" s="346"/>
      <c r="BC67" s="346"/>
      <c r="BD67" s="367"/>
      <c r="BE67" s="360"/>
      <c r="BF67" s="360"/>
      <c r="BG67" s="360">
        <v>1</v>
      </c>
      <c r="BH67" s="360">
        <v>1</v>
      </c>
      <c r="BI67" s="345"/>
      <c r="BJ67" s="345"/>
      <c r="BK67" s="340"/>
      <c r="BL67" s="345"/>
      <c r="BM67" s="345">
        <v>1</v>
      </c>
      <c r="BN67" s="347">
        <v>1</v>
      </c>
    </row>
    <row r="68" spans="1:66" ht="12">
      <c r="A68" s="340">
        <f t="shared" si="12"/>
        <v>8</v>
      </c>
      <c r="B68" s="341" t="s">
        <v>63</v>
      </c>
      <c r="C68" s="345">
        <v>60</v>
      </c>
      <c r="D68" s="340"/>
      <c r="E68" s="342">
        <f t="shared" si="10"/>
        <v>5.2164</v>
      </c>
      <c r="F68" s="342">
        <f t="shared" si="11"/>
        <v>6.84</v>
      </c>
      <c r="G68" s="342"/>
      <c r="H68" s="344"/>
      <c r="I68" s="342"/>
      <c r="J68" s="343"/>
      <c r="K68" s="342"/>
      <c r="L68" s="343">
        <v>0.0108</v>
      </c>
      <c r="M68" s="344">
        <f>L68*201.5+10.8*0.2815</f>
        <v>5.2164</v>
      </c>
      <c r="N68" s="343">
        <v>0.019</v>
      </c>
      <c r="O68" s="344">
        <f>N68*360</f>
        <v>6.84</v>
      </c>
      <c r="P68" s="358"/>
      <c r="Q68" s="358"/>
      <c r="R68" s="358"/>
      <c r="S68" s="358"/>
      <c r="T68" s="358"/>
      <c r="U68" s="343"/>
      <c r="V68" s="342"/>
      <c r="W68" s="342"/>
      <c r="X68" s="342"/>
      <c r="Y68" s="345"/>
      <c r="Z68" s="340"/>
      <c r="AA68" s="340"/>
      <c r="AB68" s="345"/>
      <c r="AC68" s="340"/>
      <c r="AD68" s="340"/>
      <c r="AE68" s="345"/>
      <c r="AF68" s="340"/>
      <c r="AG68" s="340"/>
      <c r="AH68" s="340"/>
      <c r="AI68" s="344"/>
      <c r="AJ68" s="342"/>
      <c r="AK68" s="345"/>
      <c r="AL68" s="342"/>
      <c r="AM68" s="340"/>
      <c r="AN68" s="344"/>
      <c r="AO68" s="342"/>
      <c r="AP68" s="342"/>
      <c r="AQ68" s="342"/>
      <c r="AR68" s="344"/>
      <c r="AS68" s="342"/>
      <c r="AT68" s="342"/>
      <c r="AU68" s="342"/>
      <c r="AV68" s="344"/>
      <c r="AW68" s="342"/>
      <c r="AX68" s="342"/>
      <c r="AY68" s="342"/>
      <c r="AZ68" s="344"/>
      <c r="BA68" s="346"/>
      <c r="BB68" s="346"/>
      <c r="BC68" s="346"/>
      <c r="BD68" s="367"/>
      <c r="BE68" s="360">
        <v>1</v>
      </c>
      <c r="BF68" s="360">
        <v>1</v>
      </c>
      <c r="BG68" s="360">
        <v>3</v>
      </c>
      <c r="BH68" s="360">
        <v>3</v>
      </c>
      <c r="BI68" s="345"/>
      <c r="BJ68" s="345"/>
      <c r="BK68" s="340"/>
      <c r="BL68" s="345"/>
      <c r="BM68" s="345">
        <v>1</v>
      </c>
      <c r="BN68" s="347">
        <v>1</v>
      </c>
    </row>
    <row r="69" spans="1:66" ht="12">
      <c r="A69" s="340">
        <f t="shared" si="12"/>
        <v>9</v>
      </c>
      <c r="B69" s="341" t="s">
        <v>63</v>
      </c>
      <c r="C69" s="345">
        <v>62</v>
      </c>
      <c r="D69" s="340"/>
      <c r="E69" s="342">
        <f t="shared" si="10"/>
        <v>0</v>
      </c>
      <c r="F69" s="342">
        <f t="shared" si="11"/>
        <v>0</v>
      </c>
      <c r="G69" s="342"/>
      <c r="H69" s="344"/>
      <c r="I69" s="342"/>
      <c r="J69" s="343"/>
      <c r="K69" s="342"/>
      <c r="L69" s="343"/>
      <c r="M69" s="344"/>
      <c r="N69" s="343"/>
      <c r="O69" s="344"/>
      <c r="P69" s="358"/>
      <c r="Q69" s="358"/>
      <c r="R69" s="358"/>
      <c r="S69" s="358"/>
      <c r="T69" s="358"/>
      <c r="U69" s="343"/>
      <c r="V69" s="342"/>
      <c r="W69" s="342"/>
      <c r="X69" s="342"/>
      <c r="Y69" s="345"/>
      <c r="Z69" s="340"/>
      <c r="AA69" s="340"/>
      <c r="AB69" s="345"/>
      <c r="AC69" s="340"/>
      <c r="AD69" s="340"/>
      <c r="AE69" s="345"/>
      <c r="AF69" s="340"/>
      <c r="AG69" s="340"/>
      <c r="AH69" s="340"/>
      <c r="AI69" s="344"/>
      <c r="AJ69" s="342"/>
      <c r="AK69" s="345"/>
      <c r="AL69" s="342"/>
      <c r="AM69" s="340"/>
      <c r="AN69" s="344"/>
      <c r="AO69" s="342"/>
      <c r="AP69" s="342"/>
      <c r="AQ69" s="342"/>
      <c r="AR69" s="344"/>
      <c r="AS69" s="342"/>
      <c r="AT69" s="342"/>
      <c r="AU69" s="342"/>
      <c r="AV69" s="344"/>
      <c r="AW69" s="342"/>
      <c r="AX69" s="342"/>
      <c r="AY69" s="342"/>
      <c r="AZ69" s="344"/>
      <c r="BA69" s="346"/>
      <c r="BB69" s="346"/>
      <c r="BC69" s="346"/>
      <c r="BD69" s="367"/>
      <c r="BE69" s="360">
        <v>1</v>
      </c>
      <c r="BF69" s="360">
        <v>1</v>
      </c>
      <c r="BG69" s="360">
        <v>3</v>
      </c>
      <c r="BH69" s="360">
        <v>3</v>
      </c>
      <c r="BI69" s="345"/>
      <c r="BJ69" s="345"/>
      <c r="BK69" s="340"/>
      <c r="BL69" s="345"/>
      <c r="BM69" s="345">
        <v>1</v>
      </c>
      <c r="BN69" s="347">
        <v>1</v>
      </c>
    </row>
    <row r="70" spans="1:66" ht="12">
      <c r="A70" s="340">
        <f t="shared" si="12"/>
        <v>10</v>
      </c>
      <c r="B70" s="341" t="s">
        <v>64</v>
      </c>
      <c r="C70" s="340">
        <v>3</v>
      </c>
      <c r="D70" s="340"/>
      <c r="E70" s="342">
        <f t="shared" si="10"/>
        <v>0</v>
      </c>
      <c r="F70" s="342">
        <f t="shared" si="11"/>
        <v>0</v>
      </c>
      <c r="G70" s="342"/>
      <c r="H70" s="344"/>
      <c r="I70" s="342"/>
      <c r="J70" s="343"/>
      <c r="K70" s="342"/>
      <c r="L70" s="343"/>
      <c r="M70" s="344"/>
      <c r="N70" s="343"/>
      <c r="O70" s="344"/>
      <c r="P70" s="358"/>
      <c r="Q70" s="358"/>
      <c r="R70" s="358"/>
      <c r="S70" s="358"/>
      <c r="T70" s="358"/>
      <c r="U70" s="343"/>
      <c r="V70" s="342"/>
      <c r="W70" s="342"/>
      <c r="X70" s="342"/>
      <c r="Y70" s="345"/>
      <c r="Z70" s="340"/>
      <c r="AA70" s="340">
        <v>5</v>
      </c>
      <c r="AB70" s="345">
        <v>5</v>
      </c>
      <c r="AC70" s="340"/>
      <c r="AD70" s="340"/>
      <c r="AE70" s="345"/>
      <c r="AF70" s="340"/>
      <c r="AG70" s="340">
        <v>5.6</v>
      </c>
      <c r="AH70" s="340">
        <v>5.6</v>
      </c>
      <c r="AI70" s="344"/>
      <c r="AJ70" s="342"/>
      <c r="AK70" s="345"/>
      <c r="AL70" s="342"/>
      <c r="AM70" s="340"/>
      <c r="AN70" s="344"/>
      <c r="AO70" s="342"/>
      <c r="AP70" s="342"/>
      <c r="AQ70" s="342"/>
      <c r="AR70" s="344"/>
      <c r="AS70" s="342"/>
      <c r="AT70" s="342"/>
      <c r="AU70" s="342"/>
      <c r="AV70" s="344"/>
      <c r="AW70" s="342"/>
      <c r="AX70" s="342"/>
      <c r="AY70" s="342"/>
      <c r="AZ70" s="344"/>
      <c r="BA70" s="346"/>
      <c r="BB70" s="346"/>
      <c r="BC70" s="346"/>
      <c r="BD70" s="367"/>
      <c r="BE70" s="360"/>
      <c r="BF70" s="360"/>
      <c r="BG70" s="360">
        <v>5</v>
      </c>
      <c r="BH70" s="360">
        <v>5</v>
      </c>
      <c r="BI70" s="345"/>
      <c r="BJ70" s="345"/>
      <c r="BK70" s="340"/>
      <c r="BL70" s="345"/>
      <c r="BM70" s="345">
        <v>1</v>
      </c>
      <c r="BN70" s="347">
        <v>1</v>
      </c>
    </row>
    <row r="71" spans="1:66" ht="12">
      <c r="A71" s="340">
        <f t="shared" si="12"/>
        <v>11</v>
      </c>
      <c r="B71" s="341" t="s">
        <v>64</v>
      </c>
      <c r="C71" s="340">
        <v>4</v>
      </c>
      <c r="D71" s="340"/>
      <c r="E71" s="342">
        <f t="shared" si="10"/>
        <v>0.6045</v>
      </c>
      <c r="F71" s="342">
        <f t="shared" si="11"/>
        <v>1.188</v>
      </c>
      <c r="G71" s="342"/>
      <c r="H71" s="344"/>
      <c r="I71" s="342"/>
      <c r="J71" s="343"/>
      <c r="K71" s="342"/>
      <c r="L71" s="343">
        <v>0.003</v>
      </c>
      <c r="M71" s="344">
        <f>L71*201.5</f>
        <v>0.6045</v>
      </c>
      <c r="N71" s="343">
        <v>0.0033</v>
      </c>
      <c r="O71" s="344">
        <f>N71*360</f>
        <v>1.188</v>
      </c>
      <c r="P71" s="358"/>
      <c r="Q71" s="358"/>
      <c r="R71" s="358"/>
      <c r="S71" s="358"/>
      <c r="T71" s="358"/>
      <c r="U71" s="343"/>
      <c r="V71" s="342"/>
      <c r="W71" s="342"/>
      <c r="X71" s="342"/>
      <c r="Y71" s="345"/>
      <c r="Z71" s="340"/>
      <c r="AA71" s="340">
        <v>10</v>
      </c>
      <c r="AB71" s="345">
        <v>10</v>
      </c>
      <c r="AC71" s="340"/>
      <c r="AD71" s="340"/>
      <c r="AE71" s="345"/>
      <c r="AF71" s="340"/>
      <c r="AG71" s="340">
        <v>11.2</v>
      </c>
      <c r="AH71" s="340">
        <v>11.2</v>
      </c>
      <c r="AI71" s="344"/>
      <c r="AJ71" s="342"/>
      <c r="AK71" s="345"/>
      <c r="AL71" s="342"/>
      <c r="AM71" s="340"/>
      <c r="AN71" s="344"/>
      <c r="AO71" s="342"/>
      <c r="AP71" s="342"/>
      <c r="AQ71" s="342"/>
      <c r="AR71" s="344"/>
      <c r="AS71" s="342"/>
      <c r="AT71" s="342"/>
      <c r="AU71" s="342"/>
      <c r="AV71" s="344"/>
      <c r="AW71" s="342"/>
      <c r="AX71" s="342"/>
      <c r="AY71" s="342"/>
      <c r="AZ71" s="344"/>
      <c r="BA71" s="346"/>
      <c r="BB71" s="346"/>
      <c r="BC71" s="346"/>
      <c r="BD71" s="367"/>
      <c r="BE71" s="360"/>
      <c r="BF71" s="360"/>
      <c r="BG71" s="360">
        <v>5</v>
      </c>
      <c r="BH71" s="360">
        <v>5</v>
      </c>
      <c r="BI71" s="345"/>
      <c r="BJ71" s="345"/>
      <c r="BK71" s="340"/>
      <c r="BL71" s="345"/>
      <c r="BM71" s="345">
        <v>1</v>
      </c>
      <c r="BN71" s="347">
        <v>1</v>
      </c>
    </row>
    <row r="72" spans="1:66" ht="12">
      <c r="A72" s="340">
        <f t="shared" si="12"/>
        <v>12</v>
      </c>
      <c r="B72" s="341" t="s">
        <v>64</v>
      </c>
      <c r="C72" s="340">
        <v>10</v>
      </c>
      <c r="D72" s="340"/>
      <c r="E72" s="342">
        <f t="shared" si="10"/>
        <v>0</v>
      </c>
      <c r="F72" s="342">
        <f t="shared" si="11"/>
        <v>0</v>
      </c>
      <c r="G72" s="342"/>
      <c r="H72" s="344"/>
      <c r="I72" s="342"/>
      <c r="J72" s="343"/>
      <c r="K72" s="342"/>
      <c r="L72" s="343"/>
      <c r="M72" s="344"/>
      <c r="N72" s="343"/>
      <c r="O72" s="344"/>
      <c r="P72" s="358"/>
      <c r="Q72" s="358"/>
      <c r="R72" s="358"/>
      <c r="S72" s="358"/>
      <c r="T72" s="358"/>
      <c r="U72" s="343"/>
      <c r="V72" s="342"/>
      <c r="W72" s="342"/>
      <c r="X72" s="342"/>
      <c r="Y72" s="345"/>
      <c r="Z72" s="340"/>
      <c r="AA72" s="340">
        <v>8</v>
      </c>
      <c r="AB72" s="345">
        <v>8</v>
      </c>
      <c r="AC72" s="340"/>
      <c r="AD72" s="340"/>
      <c r="AE72" s="345"/>
      <c r="AF72" s="340"/>
      <c r="AG72" s="340">
        <v>10</v>
      </c>
      <c r="AH72" s="340">
        <v>10</v>
      </c>
      <c r="AI72" s="344"/>
      <c r="AJ72" s="342"/>
      <c r="AK72" s="345"/>
      <c r="AL72" s="342"/>
      <c r="AM72" s="340"/>
      <c r="AN72" s="344"/>
      <c r="AO72" s="342"/>
      <c r="AP72" s="342"/>
      <c r="AQ72" s="342"/>
      <c r="AR72" s="344"/>
      <c r="AS72" s="342"/>
      <c r="AT72" s="342"/>
      <c r="AU72" s="342"/>
      <c r="AV72" s="344"/>
      <c r="AW72" s="342"/>
      <c r="AX72" s="342"/>
      <c r="AY72" s="342"/>
      <c r="AZ72" s="344"/>
      <c r="BA72" s="346"/>
      <c r="BB72" s="346"/>
      <c r="BC72" s="346"/>
      <c r="BD72" s="367"/>
      <c r="BE72" s="360"/>
      <c r="BF72" s="360"/>
      <c r="BG72" s="360">
        <v>4</v>
      </c>
      <c r="BH72" s="360">
        <v>4</v>
      </c>
      <c r="BI72" s="345"/>
      <c r="BJ72" s="345"/>
      <c r="BK72" s="340"/>
      <c r="BL72" s="345"/>
      <c r="BM72" s="345">
        <v>1</v>
      </c>
      <c r="BN72" s="347">
        <v>1</v>
      </c>
    </row>
    <row r="73" spans="1:66" ht="12">
      <c r="A73" s="340">
        <f t="shared" si="12"/>
        <v>13</v>
      </c>
      <c r="B73" s="341" t="s">
        <v>64</v>
      </c>
      <c r="C73" s="340">
        <v>12</v>
      </c>
      <c r="D73" s="340"/>
      <c r="E73" s="342">
        <f t="shared" si="10"/>
        <v>4.5942</v>
      </c>
      <c r="F73" s="342">
        <f t="shared" si="11"/>
        <v>8.604000000000001</v>
      </c>
      <c r="G73" s="342"/>
      <c r="H73" s="344"/>
      <c r="I73" s="342"/>
      <c r="J73" s="343"/>
      <c r="K73" s="342"/>
      <c r="L73" s="343">
        <v>0.0228</v>
      </c>
      <c r="M73" s="344">
        <f>L73*201.5</f>
        <v>4.5942</v>
      </c>
      <c r="N73" s="343">
        <v>0.0239</v>
      </c>
      <c r="O73" s="344">
        <f>N73*360</f>
        <v>8.604000000000001</v>
      </c>
      <c r="P73" s="358"/>
      <c r="Q73" s="358"/>
      <c r="R73" s="358"/>
      <c r="S73" s="358"/>
      <c r="T73" s="358"/>
      <c r="U73" s="343"/>
      <c r="V73" s="342"/>
      <c r="W73" s="342"/>
      <c r="X73" s="342"/>
      <c r="Y73" s="345"/>
      <c r="Z73" s="340"/>
      <c r="AA73" s="340"/>
      <c r="AB73" s="345"/>
      <c r="AC73" s="340"/>
      <c r="AD73" s="340"/>
      <c r="AE73" s="345"/>
      <c r="AF73" s="340"/>
      <c r="AG73" s="340"/>
      <c r="AH73" s="340"/>
      <c r="AI73" s="344"/>
      <c r="AJ73" s="342"/>
      <c r="AK73" s="345"/>
      <c r="AL73" s="342"/>
      <c r="AM73" s="340"/>
      <c r="AN73" s="344"/>
      <c r="AO73" s="342"/>
      <c r="AP73" s="342"/>
      <c r="AQ73" s="342"/>
      <c r="AR73" s="344"/>
      <c r="AS73" s="342"/>
      <c r="AT73" s="342"/>
      <c r="AU73" s="342"/>
      <c r="AV73" s="344"/>
      <c r="AW73" s="342"/>
      <c r="AX73" s="342"/>
      <c r="AY73" s="342"/>
      <c r="AZ73" s="344"/>
      <c r="BA73" s="346"/>
      <c r="BB73" s="346"/>
      <c r="BC73" s="346"/>
      <c r="BD73" s="367"/>
      <c r="BE73" s="360"/>
      <c r="BF73" s="360"/>
      <c r="BG73" s="360">
        <v>5</v>
      </c>
      <c r="BH73" s="360">
        <v>5</v>
      </c>
      <c r="BI73" s="345"/>
      <c r="BJ73" s="345"/>
      <c r="BK73" s="340"/>
      <c r="BL73" s="345"/>
      <c r="BM73" s="345">
        <v>1</v>
      </c>
      <c r="BN73" s="347">
        <v>1</v>
      </c>
    </row>
    <row r="74" spans="1:66" ht="12">
      <c r="A74" s="340">
        <f t="shared" si="12"/>
        <v>14</v>
      </c>
      <c r="B74" s="341" t="s">
        <v>64</v>
      </c>
      <c r="C74" s="340">
        <v>16</v>
      </c>
      <c r="D74" s="340"/>
      <c r="E74" s="342">
        <f t="shared" si="10"/>
        <v>9.0975</v>
      </c>
      <c r="F74" s="342">
        <f t="shared" si="11"/>
        <v>7.097999999999999</v>
      </c>
      <c r="G74" s="342"/>
      <c r="H74" s="344"/>
      <c r="I74" s="342"/>
      <c r="J74" s="343"/>
      <c r="K74" s="342"/>
      <c r="L74" s="343">
        <v>0.0145</v>
      </c>
      <c r="M74" s="344">
        <f>L74*483</f>
        <v>7.003500000000001</v>
      </c>
      <c r="N74" s="343">
        <v>0.0139</v>
      </c>
      <c r="O74" s="344">
        <f>N74*360</f>
        <v>5.004</v>
      </c>
      <c r="P74" s="358"/>
      <c r="Q74" s="358"/>
      <c r="R74" s="358"/>
      <c r="S74" s="358"/>
      <c r="T74" s="358"/>
      <c r="U74" s="343">
        <v>0.002</v>
      </c>
      <c r="V74" s="342">
        <f>U74*1047</f>
        <v>2.094</v>
      </c>
      <c r="W74" s="343">
        <v>0.002</v>
      </c>
      <c r="X74" s="342">
        <f>W74*1047</f>
        <v>2.094</v>
      </c>
      <c r="Y74" s="345"/>
      <c r="Z74" s="340"/>
      <c r="AA74" s="340"/>
      <c r="AB74" s="345"/>
      <c r="AC74" s="340"/>
      <c r="AD74" s="340"/>
      <c r="AE74" s="345"/>
      <c r="AF74" s="340"/>
      <c r="AG74" s="340"/>
      <c r="AH74" s="340"/>
      <c r="AI74" s="344"/>
      <c r="AJ74" s="342"/>
      <c r="AK74" s="345"/>
      <c r="AL74" s="342"/>
      <c r="AM74" s="340"/>
      <c r="AN74" s="344"/>
      <c r="AO74" s="342"/>
      <c r="AP74" s="342"/>
      <c r="AQ74" s="342"/>
      <c r="AR74" s="344"/>
      <c r="AS74" s="342"/>
      <c r="AT74" s="342"/>
      <c r="AU74" s="342"/>
      <c r="AV74" s="344"/>
      <c r="AW74" s="342"/>
      <c r="AX74" s="342"/>
      <c r="AY74" s="342"/>
      <c r="AZ74" s="344"/>
      <c r="BA74" s="346"/>
      <c r="BB74" s="346"/>
      <c r="BC74" s="346"/>
      <c r="BD74" s="367"/>
      <c r="BE74" s="360"/>
      <c r="BF74" s="360"/>
      <c r="BG74" s="360">
        <v>3</v>
      </c>
      <c r="BH74" s="360">
        <v>3</v>
      </c>
      <c r="BI74" s="345"/>
      <c r="BJ74" s="345"/>
      <c r="BK74" s="340"/>
      <c r="BL74" s="345"/>
      <c r="BM74" s="345">
        <v>1</v>
      </c>
      <c r="BN74" s="347">
        <v>1</v>
      </c>
    </row>
    <row r="75" spans="1:66" ht="12">
      <c r="A75" s="340">
        <f t="shared" si="12"/>
        <v>15</v>
      </c>
      <c r="B75" s="341" t="s">
        <v>64</v>
      </c>
      <c r="C75" s="340">
        <v>18</v>
      </c>
      <c r="D75" s="340"/>
      <c r="E75" s="342">
        <f t="shared" si="10"/>
        <v>9.0739</v>
      </c>
      <c r="F75" s="342">
        <f t="shared" si="11"/>
        <v>8.244</v>
      </c>
      <c r="G75" s="342"/>
      <c r="H75" s="344"/>
      <c r="I75" s="342"/>
      <c r="J75" s="343"/>
      <c r="K75" s="342"/>
      <c r="L75" s="343">
        <f>0.0162+0.0062</f>
        <v>0.0224</v>
      </c>
      <c r="M75" s="344">
        <f>L75*201.5+16.2*0.2815</f>
        <v>9.0739</v>
      </c>
      <c r="N75" s="343">
        <v>0.0229</v>
      </c>
      <c r="O75" s="344">
        <f>N75*360</f>
        <v>8.244</v>
      </c>
      <c r="P75" s="358"/>
      <c r="Q75" s="358"/>
      <c r="R75" s="358"/>
      <c r="S75" s="358"/>
      <c r="T75" s="358"/>
      <c r="U75" s="343"/>
      <c r="V75" s="342"/>
      <c r="W75" s="342"/>
      <c r="X75" s="342"/>
      <c r="Y75" s="345"/>
      <c r="Z75" s="340"/>
      <c r="AA75" s="340"/>
      <c r="AB75" s="345"/>
      <c r="AC75" s="340"/>
      <c r="AD75" s="340"/>
      <c r="AE75" s="345"/>
      <c r="AF75" s="340"/>
      <c r="AG75" s="340"/>
      <c r="AH75" s="340"/>
      <c r="AI75" s="344"/>
      <c r="AJ75" s="342"/>
      <c r="AK75" s="345"/>
      <c r="AL75" s="342"/>
      <c r="AM75" s="340"/>
      <c r="AN75" s="344"/>
      <c r="AO75" s="342"/>
      <c r="AP75" s="342"/>
      <c r="AQ75" s="342"/>
      <c r="AR75" s="344"/>
      <c r="AS75" s="342"/>
      <c r="AT75" s="342"/>
      <c r="AU75" s="342"/>
      <c r="AV75" s="344"/>
      <c r="AW75" s="342"/>
      <c r="AX75" s="342"/>
      <c r="AY75" s="342"/>
      <c r="AZ75" s="344"/>
      <c r="BA75" s="346"/>
      <c r="BB75" s="346"/>
      <c r="BC75" s="346"/>
      <c r="BD75" s="367"/>
      <c r="BE75" s="360"/>
      <c r="BF75" s="360"/>
      <c r="BG75" s="360">
        <v>4</v>
      </c>
      <c r="BH75" s="360">
        <v>4</v>
      </c>
      <c r="BI75" s="345"/>
      <c r="BJ75" s="345"/>
      <c r="BK75" s="340"/>
      <c r="BL75" s="345"/>
      <c r="BM75" s="345">
        <v>1</v>
      </c>
      <c r="BN75" s="347">
        <v>1</v>
      </c>
    </row>
    <row r="76" spans="1:66" ht="12">
      <c r="A76" s="340">
        <f t="shared" si="12"/>
        <v>16</v>
      </c>
      <c r="B76" s="341" t="s">
        <v>64</v>
      </c>
      <c r="C76" s="340">
        <v>22</v>
      </c>
      <c r="D76" s="340"/>
      <c r="E76" s="342">
        <f t="shared" si="10"/>
        <v>0.6045</v>
      </c>
      <c r="F76" s="342">
        <f t="shared" si="11"/>
        <v>1.188</v>
      </c>
      <c r="G76" s="342"/>
      <c r="H76" s="344"/>
      <c r="I76" s="342"/>
      <c r="J76" s="343"/>
      <c r="K76" s="342"/>
      <c r="L76" s="343">
        <v>0.003</v>
      </c>
      <c r="M76" s="344">
        <f>L76*201.5</f>
        <v>0.6045</v>
      </c>
      <c r="N76" s="343">
        <v>0.0033</v>
      </c>
      <c r="O76" s="344">
        <f>N76*360</f>
        <v>1.188</v>
      </c>
      <c r="P76" s="358"/>
      <c r="Q76" s="358"/>
      <c r="R76" s="358"/>
      <c r="S76" s="358"/>
      <c r="T76" s="358"/>
      <c r="U76" s="343"/>
      <c r="V76" s="342"/>
      <c r="W76" s="342"/>
      <c r="X76" s="342"/>
      <c r="Y76" s="345"/>
      <c r="Z76" s="340"/>
      <c r="AA76" s="340"/>
      <c r="AB76" s="345"/>
      <c r="AC76" s="340"/>
      <c r="AD76" s="340"/>
      <c r="AE76" s="345"/>
      <c r="AF76" s="340"/>
      <c r="AG76" s="340"/>
      <c r="AH76" s="340"/>
      <c r="AI76" s="344"/>
      <c r="AJ76" s="342"/>
      <c r="AK76" s="345"/>
      <c r="AL76" s="342"/>
      <c r="AM76" s="340"/>
      <c r="AN76" s="344"/>
      <c r="AO76" s="342"/>
      <c r="AP76" s="342"/>
      <c r="AQ76" s="342"/>
      <c r="AR76" s="344"/>
      <c r="AS76" s="342"/>
      <c r="AT76" s="342"/>
      <c r="AU76" s="342"/>
      <c r="AV76" s="344"/>
      <c r="AW76" s="342"/>
      <c r="AX76" s="342"/>
      <c r="AY76" s="342"/>
      <c r="AZ76" s="344"/>
      <c r="BA76" s="346"/>
      <c r="BB76" s="346"/>
      <c r="BC76" s="346"/>
      <c r="BD76" s="367"/>
      <c r="BE76" s="360"/>
      <c r="BF76" s="360"/>
      <c r="BG76" s="360">
        <v>6</v>
      </c>
      <c r="BH76" s="360">
        <v>6</v>
      </c>
      <c r="BI76" s="345"/>
      <c r="BJ76" s="345"/>
      <c r="BK76" s="340"/>
      <c r="BL76" s="345"/>
      <c r="BM76" s="345">
        <v>1</v>
      </c>
      <c r="BN76" s="347">
        <v>1</v>
      </c>
    </row>
    <row r="77" spans="1:66" ht="12">
      <c r="A77" s="340">
        <f t="shared" si="12"/>
        <v>17</v>
      </c>
      <c r="B77" s="341" t="s">
        <v>89</v>
      </c>
      <c r="C77" s="340">
        <v>1</v>
      </c>
      <c r="D77" s="340"/>
      <c r="E77" s="342">
        <f t="shared" si="10"/>
        <v>100.38114999999999</v>
      </c>
      <c r="F77" s="342">
        <f t="shared" si="11"/>
        <v>166.85999999999999</v>
      </c>
      <c r="G77" s="342"/>
      <c r="H77" s="344">
        <v>0.018</v>
      </c>
      <c r="I77" s="342">
        <f>H77*1450</f>
        <v>26.099999999999998</v>
      </c>
      <c r="J77" s="344">
        <v>0.018</v>
      </c>
      <c r="K77" s="342">
        <f>J77*1450</f>
        <v>26.099999999999998</v>
      </c>
      <c r="L77" s="343">
        <f>0.0064+0.3533</f>
        <v>0.3597</v>
      </c>
      <c r="M77" s="344">
        <f>L77*201.5+6.4*0.2815</f>
        <v>74.28115</v>
      </c>
      <c r="N77" s="343">
        <v>0.391</v>
      </c>
      <c r="O77" s="344">
        <f>N77*360</f>
        <v>140.76</v>
      </c>
      <c r="P77" s="358"/>
      <c r="Q77" s="358"/>
      <c r="R77" s="358"/>
      <c r="S77" s="358"/>
      <c r="T77" s="358"/>
      <c r="U77" s="343"/>
      <c r="V77" s="342"/>
      <c r="W77" s="342"/>
      <c r="X77" s="342"/>
      <c r="Y77" s="345"/>
      <c r="Z77" s="340"/>
      <c r="AA77" s="340"/>
      <c r="AB77" s="345"/>
      <c r="AC77" s="340"/>
      <c r="AD77" s="340"/>
      <c r="AE77" s="345"/>
      <c r="AF77" s="340"/>
      <c r="AG77" s="340"/>
      <c r="AH77" s="340"/>
      <c r="AI77" s="344"/>
      <c r="AJ77" s="342"/>
      <c r="AK77" s="345"/>
      <c r="AL77" s="342"/>
      <c r="AM77" s="340"/>
      <c r="AN77" s="344"/>
      <c r="AO77" s="342"/>
      <c r="AP77" s="342"/>
      <c r="AQ77" s="342"/>
      <c r="AR77" s="344"/>
      <c r="AS77" s="342"/>
      <c r="AT77" s="342"/>
      <c r="AU77" s="342"/>
      <c r="AV77" s="344"/>
      <c r="AW77" s="342"/>
      <c r="AX77" s="342"/>
      <c r="AY77" s="342"/>
      <c r="AZ77" s="344"/>
      <c r="BA77" s="346"/>
      <c r="BB77" s="346"/>
      <c r="BC77" s="346"/>
      <c r="BD77" s="367"/>
      <c r="BE77" s="360"/>
      <c r="BF77" s="360"/>
      <c r="BG77" s="360">
        <v>8</v>
      </c>
      <c r="BH77" s="360">
        <v>8</v>
      </c>
      <c r="BI77" s="345"/>
      <c r="BJ77" s="345"/>
      <c r="BK77" s="340"/>
      <c r="BL77" s="345"/>
      <c r="BM77" s="345">
        <v>1</v>
      </c>
      <c r="BN77" s="347">
        <v>1</v>
      </c>
    </row>
    <row r="78" spans="1:66" ht="12">
      <c r="A78" s="340">
        <f t="shared" si="12"/>
        <v>18</v>
      </c>
      <c r="B78" s="341" t="s">
        <v>89</v>
      </c>
      <c r="C78" s="340">
        <v>4</v>
      </c>
      <c r="D78" s="340"/>
      <c r="E78" s="342">
        <f t="shared" si="10"/>
        <v>2.375</v>
      </c>
      <c r="F78" s="342">
        <f t="shared" si="11"/>
        <v>2.375</v>
      </c>
      <c r="G78" s="342"/>
      <c r="H78" s="344">
        <v>0.005</v>
      </c>
      <c r="I78" s="342">
        <f>H78*475</f>
        <v>2.375</v>
      </c>
      <c r="J78" s="344">
        <v>0.005</v>
      </c>
      <c r="K78" s="342">
        <f>J78*475</f>
        <v>2.375</v>
      </c>
      <c r="L78" s="343"/>
      <c r="M78" s="344"/>
      <c r="N78" s="343"/>
      <c r="O78" s="344"/>
      <c r="P78" s="358"/>
      <c r="Q78" s="358"/>
      <c r="R78" s="358"/>
      <c r="S78" s="358"/>
      <c r="T78" s="358"/>
      <c r="U78" s="343"/>
      <c r="V78" s="342"/>
      <c r="W78" s="342"/>
      <c r="X78" s="342"/>
      <c r="Y78" s="345"/>
      <c r="Z78" s="340"/>
      <c r="AA78" s="340">
        <v>4</v>
      </c>
      <c r="AB78" s="345">
        <v>4</v>
      </c>
      <c r="AC78" s="340"/>
      <c r="AD78" s="340"/>
      <c r="AE78" s="345"/>
      <c r="AF78" s="340"/>
      <c r="AG78" s="340">
        <v>2.2</v>
      </c>
      <c r="AH78" s="340">
        <v>2.2</v>
      </c>
      <c r="AI78" s="344"/>
      <c r="AJ78" s="342"/>
      <c r="AK78" s="345"/>
      <c r="AL78" s="342"/>
      <c r="AM78" s="340"/>
      <c r="AN78" s="344"/>
      <c r="AO78" s="342"/>
      <c r="AP78" s="342"/>
      <c r="AQ78" s="342"/>
      <c r="AR78" s="344"/>
      <c r="AS78" s="342"/>
      <c r="AT78" s="342"/>
      <c r="AU78" s="342"/>
      <c r="AV78" s="344"/>
      <c r="AW78" s="342"/>
      <c r="AX78" s="342"/>
      <c r="AY78" s="342"/>
      <c r="AZ78" s="344"/>
      <c r="BA78" s="346"/>
      <c r="BB78" s="346"/>
      <c r="BC78" s="346"/>
      <c r="BD78" s="367"/>
      <c r="BE78" s="360">
        <v>1</v>
      </c>
      <c r="BF78" s="360">
        <v>1</v>
      </c>
      <c r="BG78" s="360">
        <v>4</v>
      </c>
      <c r="BH78" s="360">
        <v>4</v>
      </c>
      <c r="BI78" s="345"/>
      <c r="BJ78" s="345"/>
      <c r="BK78" s="340"/>
      <c r="BL78" s="345"/>
      <c r="BM78" s="345">
        <v>1</v>
      </c>
      <c r="BN78" s="347">
        <v>1</v>
      </c>
    </row>
    <row r="79" spans="1:66" ht="12">
      <c r="A79" s="340">
        <f t="shared" si="12"/>
        <v>19</v>
      </c>
      <c r="B79" s="341" t="s">
        <v>89</v>
      </c>
      <c r="C79" s="340">
        <v>6</v>
      </c>
      <c r="D79" s="340"/>
      <c r="E79" s="342">
        <f t="shared" si="10"/>
        <v>91.74414999999999</v>
      </c>
      <c r="F79" s="342">
        <f t="shared" si="11"/>
        <v>21.599999999999998</v>
      </c>
      <c r="G79" s="342"/>
      <c r="H79" s="344"/>
      <c r="I79" s="342"/>
      <c r="J79" s="344"/>
      <c r="K79" s="342"/>
      <c r="L79" s="343">
        <v>0.0521</v>
      </c>
      <c r="M79" s="344">
        <f>L79*201.5</f>
        <v>10.49815</v>
      </c>
      <c r="N79" s="343">
        <v>0.06</v>
      </c>
      <c r="O79" s="344">
        <f>N79*360</f>
        <v>21.599999999999998</v>
      </c>
      <c r="P79" s="358"/>
      <c r="Q79" s="358"/>
      <c r="R79" s="358"/>
      <c r="S79" s="358"/>
      <c r="T79" s="358"/>
      <c r="U79" s="343"/>
      <c r="V79" s="342"/>
      <c r="W79" s="342"/>
      <c r="X79" s="342"/>
      <c r="Y79" s="345"/>
      <c r="Z79" s="340"/>
      <c r="AA79" s="340">
        <v>4</v>
      </c>
      <c r="AB79" s="345">
        <v>4</v>
      </c>
      <c r="AC79" s="340"/>
      <c r="AD79" s="340"/>
      <c r="AE79" s="345"/>
      <c r="AF79" s="340"/>
      <c r="AG79" s="340"/>
      <c r="AH79" s="345"/>
      <c r="AI79" s="344"/>
      <c r="AJ79" s="342"/>
      <c r="AK79" s="345"/>
      <c r="AL79" s="342"/>
      <c r="AM79" s="340"/>
      <c r="AN79" s="344"/>
      <c r="AO79" s="342"/>
      <c r="AP79" s="342"/>
      <c r="AQ79" s="342"/>
      <c r="AR79" s="344">
        <v>0.1</v>
      </c>
      <c r="AS79" s="342">
        <v>81.246</v>
      </c>
      <c r="AT79" s="342"/>
      <c r="AU79" s="342"/>
      <c r="AV79" s="344"/>
      <c r="AW79" s="342"/>
      <c r="AX79" s="342"/>
      <c r="AY79" s="342"/>
      <c r="AZ79" s="344"/>
      <c r="BA79" s="346"/>
      <c r="BB79" s="346"/>
      <c r="BC79" s="346"/>
      <c r="BD79" s="367"/>
      <c r="BE79" s="360">
        <v>2</v>
      </c>
      <c r="BF79" s="360">
        <v>2</v>
      </c>
      <c r="BG79" s="360">
        <v>3</v>
      </c>
      <c r="BH79" s="360">
        <v>3</v>
      </c>
      <c r="BI79" s="345"/>
      <c r="BJ79" s="345"/>
      <c r="BK79" s="340"/>
      <c r="BL79" s="345"/>
      <c r="BM79" s="345">
        <v>1</v>
      </c>
      <c r="BN79" s="347">
        <v>1</v>
      </c>
    </row>
    <row r="80" spans="1:66" ht="12">
      <c r="A80" s="340">
        <f t="shared" si="12"/>
        <v>20</v>
      </c>
      <c r="B80" s="341" t="s">
        <v>89</v>
      </c>
      <c r="C80" s="340">
        <v>6</v>
      </c>
      <c r="D80" s="340" t="s">
        <v>66</v>
      </c>
      <c r="E80" s="342">
        <f t="shared" si="10"/>
        <v>19</v>
      </c>
      <c r="F80" s="342">
        <f>K80+O80+S80+X80+AF80+AL80+AQ80+AU80+AY80+BC80</f>
        <v>19</v>
      </c>
      <c r="G80" s="342"/>
      <c r="H80" s="344">
        <v>0.04</v>
      </c>
      <c r="I80" s="342">
        <f>H80*475</f>
        <v>19</v>
      </c>
      <c r="J80" s="344">
        <v>0.04</v>
      </c>
      <c r="K80" s="342">
        <f>J80*475</f>
        <v>19</v>
      </c>
      <c r="L80" s="343"/>
      <c r="M80" s="344"/>
      <c r="N80" s="343"/>
      <c r="O80" s="344"/>
      <c r="P80" s="358"/>
      <c r="Q80" s="358"/>
      <c r="R80" s="358"/>
      <c r="S80" s="358"/>
      <c r="T80" s="358"/>
      <c r="U80" s="343"/>
      <c r="V80" s="342"/>
      <c r="W80" s="342"/>
      <c r="X80" s="342"/>
      <c r="Y80" s="345"/>
      <c r="Z80" s="340"/>
      <c r="AA80" s="340">
        <v>5</v>
      </c>
      <c r="AB80" s="345">
        <v>5</v>
      </c>
      <c r="AC80" s="340"/>
      <c r="AD80" s="340"/>
      <c r="AE80" s="345"/>
      <c r="AF80" s="340"/>
      <c r="AG80" s="340"/>
      <c r="AH80" s="345"/>
      <c r="AI80" s="344"/>
      <c r="AJ80" s="342"/>
      <c r="AK80" s="345"/>
      <c r="AL80" s="342"/>
      <c r="AM80" s="340"/>
      <c r="AN80" s="344"/>
      <c r="AO80" s="342"/>
      <c r="AP80" s="342"/>
      <c r="AQ80" s="342"/>
      <c r="AR80" s="344"/>
      <c r="AS80" s="342"/>
      <c r="AT80" s="342"/>
      <c r="AU80" s="342"/>
      <c r="AV80" s="344"/>
      <c r="AW80" s="342"/>
      <c r="AX80" s="342"/>
      <c r="AY80" s="342"/>
      <c r="AZ80" s="344"/>
      <c r="BA80" s="346"/>
      <c r="BB80" s="346"/>
      <c r="BC80" s="346"/>
      <c r="BD80" s="367"/>
      <c r="BE80" s="360">
        <v>2</v>
      </c>
      <c r="BF80" s="360">
        <v>2</v>
      </c>
      <c r="BG80" s="360">
        <v>4</v>
      </c>
      <c r="BH80" s="360">
        <v>4</v>
      </c>
      <c r="BI80" s="345"/>
      <c r="BJ80" s="345"/>
      <c r="BK80" s="340"/>
      <c r="BL80" s="345"/>
      <c r="BM80" s="345">
        <v>1</v>
      </c>
      <c r="BN80" s="347">
        <v>1</v>
      </c>
    </row>
    <row r="81" spans="1:66" ht="12">
      <c r="A81" s="340">
        <f t="shared" si="12"/>
        <v>21</v>
      </c>
      <c r="B81" s="341" t="s">
        <v>89</v>
      </c>
      <c r="C81" s="340">
        <v>11</v>
      </c>
      <c r="D81" s="340"/>
      <c r="E81" s="342">
        <f t="shared" si="10"/>
        <v>2.898</v>
      </c>
      <c r="F81" s="342">
        <f t="shared" si="11"/>
        <v>2.16</v>
      </c>
      <c r="G81" s="342"/>
      <c r="H81" s="344"/>
      <c r="I81" s="342"/>
      <c r="J81" s="343"/>
      <c r="K81" s="344"/>
      <c r="L81" s="343">
        <v>0.006</v>
      </c>
      <c r="M81" s="344">
        <f>L81*483</f>
        <v>2.898</v>
      </c>
      <c r="N81" s="343">
        <v>0.006</v>
      </c>
      <c r="O81" s="344">
        <f>N81*360</f>
        <v>2.16</v>
      </c>
      <c r="P81" s="358"/>
      <c r="Q81" s="358"/>
      <c r="R81" s="358"/>
      <c r="S81" s="358"/>
      <c r="T81" s="358"/>
      <c r="U81" s="343"/>
      <c r="V81" s="342"/>
      <c r="W81" s="249"/>
      <c r="X81" s="342"/>
      <c r="Y81" s="345"/>
      <c r="Z81" s="340"/>
      <c r="AA81" s="340">
        <v>4</v>
      </c>
      <c r="AB81" s="345">
        <v>4</v>
      </c>
      <c r="AC81" s="340"/>
      <c r="AD81" s="340"/>
      <c r="AE81" s="345"/>
      <c r="AF81" s="340"/>
      <c r="AG81" s="340"/>
      <c r="AH81" s="345"/>
      <c r="AI81" s="344"/>
      <c r="AJ81" s="342"/>
      <c r="AK81" s="345"/>
      <c r="AL81" s="342"/>
      <c r="AM81" s="340"/>
      <c r="AN81" s="344"/>
      <c r="AO81" s="342"/>
      <c r="AP81" s="342"/>
      <c r="AQ81" s="342"/>
      <c r="AR81" s="344"/>
      <c r="AS81" s="342"/>
      <c r="AT81" s="342"/>
      <c r="AU81" s="342"/>
      <c r="AV81" s="344"/>
      <c r="AW81" s="342"/>
      <c r="AX81" s="342"/>
      <c r="AY81" s="342"/>
      <c r="AZ81" s="344"/>
      <c r="BA81" s="346"/>
      <c r="BB81" s="346"/>
      <c r="BC81" s="346"/>
      <c r="BD81" s="367"/>
      <c r="BE81" s="360"/>
      <c r="BF81" s="360"/>
      <c r="BG81" s="360">
        <v>4</v>
      </c>
      <c r="BH81" s="360">
        <v>4</v>
      </c>
      <c r="BI81" s="345"/>
      <c r="BJ81" s="345"/>
      <c r="BK81" s="340"/>
      <c r="BL81" s="345"/>
      <c r="BM81" s="345">
        <v>1</v>
      </c>
      <c r="BN81" s="347">
        <v>1</v>
      </c>
    </row>
    <row r="82" spans="1:66" ht="12">
      <c r="A82" s="340">
        <f t="shared" si="12"/>
        <v>22</v>
      </c>
      <c r="B82" s="341" t="s">
        <v>47</v>
      </c>
      <c r="C82" s="340">
        <v>48</v>
      </c>
      <c r="D82" s="340"/>
      <c r="E82" s="342">
        <f t="shared" si="10"/>
        <v>0</v>
      </c>
      <c r="F82" s="342">
        <f t="shared" si="11"/>
        <v>0</v>
      </c>
      <c r="G82" s="342"/>
      <c r="H82" s="344"/>
      <c r="I82" s="342"/>
      <c r="J82" s="343"/>
      <c r="K82" s="344"/>
      <c r="L82" s="343"/>
      <c r="M82" s="344"/>
      <c r="N82" s="343"/>
      <c r="O82" s="344"/>
      <c r="P82" s="358"/>
      <c r="Q82" s="358"/>
      <c r="R82" s="358"/>
      <c r="S82" s="358"/>
      <c r="T82" s="358"/>
      <c r="U82" s="343"/>
      <c r="V82" s="342"/>
      <c r="W82" s="342"/>
      <c r="X82" s="342"/>
      <c r="Y82" s="345"/>
      <c r="Z82" s="340"/>
      <c r="AA82" s="340"/>
      <c r="AB82" s="345"/>
      <c r="AC82" s="340"/>
      <c r="AD82" s="340"/>
      <c r="AE82" s="345"/>
      <c r="AF82" s="340"/>
      <c r="AG82" s="340"/>
      <c r="AH82" s="345"/>
      <c r="AI82" s="344"/>
      <c r="AJ82" s="342"/>
      <c r="AK82" s="345"/>
      <c r="AL82" s="342"/>
      <c r="AM82" s="340"/>
      <c r="AN82" s="344"/>
      <c r="AO82" s="342"/>
      <c r="AP82" s="342"/>
      <c r="AQ82" s="342"/>
      <c r="AR82" s="344"/>
      <c r="AS82" s="342"/>
      <c r="AT82" s="342"/>
      <c r="AU82" s="342"/>
      <c r="AV82" s="344"/>
      <c r="AW82" s="342"/>
      <c r="AX82" s="342"/>
      <c r="AY82" s="342"/>
      <c r="AZ82" s="344"/>
      <c r="BA82" s="346"/>
      <c r="BB82" s="346"/>
      <c r="BC82" s="346"/>
      <c r="BD82" s="367"/>
      <c r="BE82" s="360"/>
      <c r="BF82" s="360"/>
      <c r="BG82" s="360">
        <v>1</v>
      </c>
      <c r="BH82" s="360">
        <v>1</v>
      </c>
      <c r="BI82" s="345"/>
      <c r="BJ82" s="345"/>
      <c r="BK82" s="340"/>
      <c r="BL82" s="345"/>
      <c r="BM82" s="345">
        <v>1</v>
      </c>
      <c r="BN82" s="347">
        <v>1</v>
      </c>
    </row>
    <row r="83" spans="1:66" ht="27.75" customHeight="1">
      <c r="A83" s="340">
        <f t="shared" si="12"/>
        <v>23</v>
      </c>
      <c r="B83" s="341" t="s">
        <v>47</v>
      </c>
      <c r="C83" s="340">
        <v>50</v>
      </c>
      <c r="D83" s="340"/>
      <c r="E83" s="342">
        <f t="shared" si="10"/>
        <v>4.3497</v>
      </c>
      <c r="F83" s="342">
        <f t="shared" si="11"/>
        <v>7.452</v>
      </c>
      <c r="G83" s="342"/>
      <c r="H83" s="344"/>
      <c r="I83" s="342"/>
      <c r="J83" s="343"/>
      <c r="K83" s="342"/>
      <c r="L83" s="343">
        <f>0.0045+0.0108</f>
        <v>0.015300000000000001</v>
      </c>
      <c r="M83" s="344">
        <f>L83*201.5+4.5*0.2815</f>
        <v>4.3497</v>
      </c>
      <c r="N83" s="343">
        <v>0.0207</v>
      </c>
      <c r="O83" s="344">
        <f>N83*360</f>
        <v>7.452</v>
      </c>
      <c r="P83" s="358"/>
      <c r="Q83" s="358"/>
      <c r="R83" s="358"/>
      <c r="S83" s="358"/>
      <c r="T83" s="358"/>
      <c r="U83" s="343"/>
      <c r="V83" s="342"/>
      <c r="W83" s="342"/>
      <c r="X83" s="342"/>
      <c r="Y83" s="345"/>
      <c r="Z83" s="340"/>
      <c r="AA83" s="340"/>
      <c r="AB83" s="345"/>
      <c r="AC83" s="340"/>
      <c r="AD83" s="340"/>
      <c r="AE83" s="345"/>
      <c r="AF83" s="340"/>
      <c r="AG83" s="340"/>
      <c r="AH83" s="345"/>
      <c r="AI83" s="344"/>
      <c r="AJ83" s="342"/>
      <c r="AK83" s="345"/>
      <c r="AL83" s="342"/>
      <c r="AM83" s="340"/>
      <c r="AN83" s="344"/>
      <c r="AO83" s="342"/>
      <c r="AP83" s="342"/>
      <c r="AQ83" s="342"/>
      <c r="AR83" s="344"/>
      <c r="AS83" s="342"/>
      <c r="AT83" s="342"/>
      <c r="AU83" s="342"/>
      <c r="AV83" s="344"/>
      <c r="AW83" s="342"/>
      <c r="AX83" s="342"/>
      <c r="AY83" s="342"/>
      <c r="AZ83" s="344"/>
      <c r="BA83" s="346"/>
      <c r="BB83" s="346"/>
      <c r="BC83" s="346"/>
      <c r="BD83" s="367"/>
      <c r="BE83" s="360"/>
      <c r="BF83" s="360"/>
      <c r="BG83" s="360">
        <v>4</v>
      </c>
      <c r="BH83" s="360">
        <v>4</v>
      </c>
      <c r="BI83" s="345"/>
      <c r="BJ83" s="345"/>
      <c r="BK83" s="340"/>
      <c r="BL83" s="345"/>
      <c r="BM83" s="345">
        <v>1</v>
      </c>
      <c r="BN83" s="347">
        <v>1</v>
      </c>
    </row>
    <row r="84" spans="1:66" ht="12">
      <c r="A84" s="340">
        <f t="shared" si="12"/>
        <v>24</v>
      </c>
      <c r="B84" s="341" t="s">
        <v>47</v>
      </c>
      <c r="C84" s="340">
        <v>50</v>
      </c>
      <c r="D84" s="340" t="s">
        <v>41</v>
      </c>
      <c r="E84" s="342">
        <f t="shared" si="10"/>
        <v>0</v>
      </c>
      <c r="F84" s="342">
        <f t="shared" si="11"/>
        <v>0</v>
      </c>
      <c r="G84" s="342"/>
      <c r="H84" s="344"/>
      <c r="I84" s="342"/>
      <c r="J84" s="343"/>
      <c r="K84" s="342"/>
      <c r="L84" s="343"/>
      <c r="M84" s="344"/>
      <c r="N84" s="343"/>
      <c r="O84" s="344"/>
      <c r="P84" s="358"/>
      <c r="Q84" s="358"/>
      <c r="R84" s="358"/>
      <c r="S84" s="358"/>
      <c r="T84" s="358"/>
      <c r="U84" s="343"/>
      <c r="V84" s="342"/>
      <c r="W84" s="342"/>
      <c r="X84" s="342"/>
      <c r="Y84" s="345"/>
      <c r="Z84" s="340"/>
      <c r="AA84" s="340"/>
      <c r="AB84" s="345"/>
      <c r="AC84" s="340"/>
      <c r="AD84" s="340"/>
      <c r="AE84" s="345"/>
      <c r="AF84" s="340"/>
      <c r="AG84" s="340"/>
      <c r="AH84" s="345"/>
      <c r="AI84" s="344"/>
      <c r="AJ84" s="342"/>
      <c r="AK84" s="345"/>
      <c r="AL84" s="342"/>
      <c r="AM84" s="340"/>
      <c r="AN84" s="344"/>
      <c r="AO84" s="342"/>
      <c r="AP84" s="342"/>
      <c r="AQ84" s="342"/>
      <c r="AR84" s="344"/>
      <c r="AS84" s="342"/>
      <c r="AT84" s="342"/>
      <c r="AU84" s="342"/>
      <c r="AV84" s="344"/>
      <c r="AW84" s="342"/>
      <c r="AX84" s="342"/>
      <c r="AY84" s="342"/>
      <c r="AZ84" s="344"/>
      <c r="BA84" s="346"/>
      <c r="BB84" s="346"/>
      <c r="BC84" s="346"/>
      <c r="BD84" s="367"/>
      <c r="BE84" s="360">
        <v>1</v>
      </c>
      <c r="BF84" s="360">
        <v>1</v>
      </c>
      <c r="BG84" s="360">
        <v>2</v>
      </c>
      <c r="BH84" s="360">
        <v>2</v>
      </c>
      <c r="BI84" s="345"/>
      <c r="BJ84" s="345"/>
      <c r="BK84" s="340"/>
      <c r="BL84" s="345"/>
      <c r="BM84" s="345">
        <v>1</v>
      </c>
      <c r="BN84" s="347">
        <v>1</v>
      </c>
    </row>
    <row r="85" spans="1:66" ht="12">
      <c r="A85" s="340">
        <f t="shared" si="12"/>
        <v>25</v>
      </c>
      <c r="B85" s="341" t="s">
        <v>49</v>
      </c>
      <c r="C85" s="340">
        <v>54</v>
      </c>
      <c r="D85" s="340"/>
      <c r="E85" s="342">
        <f t="shared" si="10"/>
        <v>0</v>
      </c>
      <c r="F85" s="342">
        <f t="shared" si="11"/>
        <v>14.25</v>
      </c>
      <c r="G85" s="342"/>
      <c r="H85" s="344"/>
      <c r="I85" s="342"/>
      <c r="J85" s="343">
        <v>0.03</v>
      </c>
      <c r="K85" s="342">
        <f>J85*475</f>
        <v>14.25</v>
      </c>
      <c r="L85" s="343"/>
      <c r="M85" s="344"/>
      <c r="N85" s="343"/>
      <c r="O85" s="344"/>
      <c r="P85" s="358"/>
      <c r="Q85" s="358"/>
      <c r="R85" s="358"/>
      <c r="S85" s="358"/>
      <c r="T85" s="358"/>
      <c r="U85" s="343"/>
      <c r="V85" s="342"/>
      <c r="W85" s="342"/>
      <c r="X85" s="342"/>
      <c r="Y85" s="345"/>
      <c r="Z85" s="340"/>
      <c r="AA85" s="340">
        <v>12</v>
      </c>
      <c r="AB85" s="345">
        <v>12</v>
      </c>
      <c r="AC85" s="340"/>
      <c r="AD85" s="340"/>
      <c r="AE85" s="345"/>
      <c r="AF85" s="340"/>
      <c r="AG85" s="340">
        <v>20.2</v>
      </c>
      <c r="AH85" s="340">
        <v>20.2</v>
      </c>
      <c r="AI85" s="344"/>
      <c r="AJ85" s="342"/>
      <c r="AK85" s="345"/>
      <c r="AL85" s="342"/>
      <c r="AM85" s="340"/>
      <c r="AN85" s="344"/>
      <c r="AO85" s="342"/>
      <c r="AP85" s="342"/>
      <c r="AQ85" s="342"/>
      <c r="AR85" s="344"/>
      <c r="AS85" s="342"/>
      <c r="AT85" s="342"/>
      <c r="AU85" s="342"/>
      <c r="AV85" s="344"/>
      <c r="AW85" s="342"/>
      <c r="AX85" s="342"/>
      <c r="AY85" s="342"/>
      <c r="AZ85" s="344"/>
      <c r="BA85" s="346"/>
      <c r="BB85" s="346"/>
      <c r="BC85" s="346"/>
      <c r="BD85" s="367"/>
      <c r="BE85" s="360"/>
      <c r="BF85" s="360"/>
      <c r="BG85" s="360">
        <v>6</v>
      </c>
      <c r="BH85" s="360">
        <v>6</v>
      </c>
      <c r="BI85" s="345"/>
      <c r="BJ85" s="345"/>
      <c r="BK85" s="340"/>
      <c r="BL85" s="345"/>
      <c r="BM85" s="345">
        <v>1</v>
      </c>
      <c r="BN85" s="347">
        <v>1</v>
      </c>
    </row>
    <row r="86" spans="1:66" ht="12">
      <c r="A86" s="340">
        <f t="shared" si="12"/>
        <v>26</v>
      </c>
      <c r="B86" s="341" t="s">
        <v>49</v>
      </c>
      <c r="C86" s="340">
        <v>54</v>
      </c>
      <c r="D86" s="340" t="s">
        <v>41</v>
      </c>
      <c r="E86" s="342">
        <f t="shared" si="10"/>
        <v>0</v>
      </c>
      <c r="F86" s="342">
        <f t="shared" si="11"/>
        <v>0</v>
      </c>
      <c r="G86" s="342"/>
      <c r="H86" s="344"/>
      <c r="I86" s="342"/>
      <c r="J86" s="343"/>
      <c r="K86" s="342"/>
      <c r="L86" s="343"/>
      <c r="M86" s="344"/>
      <c r="N86" s="343"/>
      <c r="O86" s="344"/>
      <c r="P86" s="358"/>
      <c r="Q86" s="358"/>
      <c r="R86" s="358"/>
      <c r="S86" s="358"/>
      <c r="T86" s="358"/>
      <c r="U86" s="343"/>
      <c r="V86" s="342"/>
      <c r="W86" s="342"/>
      <c r="X86" s="342"/>
      <c r="Y86" s="345"/>
      <c r="Z86" s="340"/>
      <c r="AA86" s="340">
        <v>4</v>
      </c>
      <c r="AB86" s="345">
        <v>4</v>
      </c>
      <c r="AC86" s="340"/>
      <c r="AD86" s="340"/>
      <c r="AE86" s="345"/>
      <c r="AF86" s="340"/>
      <c r="AG86" s="340">
        <v>10</v>
      </c>
      <c r="AH86" s="340">
        <v>10</v>
      </c>
      <c r="AI86" s="344"/>
      <c r="AJ86" s="342"/>
      <c r="AK86" s="345"/>
      <c r="AL86" s="342"/>
      <c r="AM86" s="340"/>
      <c r="AN86" s="344"/>
      <c r="AO86" s="342"/>
      <c r="AP86" s="342"/>
      <c r="AQ86" s="342"/>
      <c r="AR86" s="344"/>
      <c r="AS86" s="342"/>
      <c r="AT86" s="342"/>
      <c r="AU86" s="342"/>
      <c r="AV86" s="344"/>
      <c r="AW86" s="342"/>
      <c r="AX86" s="342"/>
      <c r="AY86" s="342"/>
      <c r="AZ86" s="344"/>
      <c r="BA86" s="346"/>
      <c r="BB86" s="346"/>
      <c r="BC86" s="346"/>
      <c r="BD86" s="367"/>
      <c r="BE86" s="360"/>
      <c r="BF86" s="360"/>
      <c r="BG86" s="360">
        <v>2</v>
      </c>
      <c r="BH86" s="360">
        <v>2</v>
      </c>
      <c r="BI86" s="345"/>
      <c r="BJ86" s="345"/>
      <c r="BK86" s="340"/>
      <c r="BL86" s="345"/>
      <c r="BM86" s="345">
        <v>1</v>
      </c>
      <c r="BN86" s="347">
        <v>1</v>
      </c>
    </row>
    <row r="87" spans="1:66" ht="12">
      <c r="A87" s="340">
        <f t="shared" si="12"/>
        <v>27</v>
      </c>
      <c r="B87" s="341" t="s">
        <v>49</v>
      </c>
      <c r="C87" s="340">
        <v>56</v>
      </c>
      <c r="D87" s="340"/>
      <c r="E87" s="342">
        <f t="shared" si="10"/>
        <v>21.831599999999998</v>
      </c>
      <c r="F87" s="342">
        <f t="shared" si="11"/>
        <v>16.198</v>
      </c>
      <c r="G87" s="342"/>
      <c r="H87" s="344"/>
      <c r="I87" s="342"/>
      <c r="J87" s="343">
        <v>0.01</v>
      </c>
      <c r="K87" s="342">
        <f>J87*475</f>
        <v>4.75</v>
      </c>
      <c r="L87" s="343">
        <v>0.0452</v>
      </c>
      <c r="M87" s="344">
        <f>L87*483</f>
        <v>21.831599999999998</v>
      </c>
      <c r="N87" s="343">
        <v>0.0318</v>
      </c>
      <c r="O87" s="344">
        <f>N87*360</f>
        <v>11.448</v>
      </c>
      <c r="P87" s="358"/>
      <c r="Q87" s="358"/>
      <c r="R87" s="358"/>
      <c r="S87" s="358"/>
      <c r="T87" s="358"/>
      <c r="U87" s="343"/>
      <c r="V87" s="342"/>
      <c r="W87" s="249"/>
      <c r="X87" s="342"/>
      <c r="Y87" s="345"/>
      <c r="Z87" s="340"/>
      <c r="AA87" s="340">
        <v>16</v>
      </c>
      <c r="AB87" s="345">
        <v>16</v>
      </c>
      <c r="AC87" s="340"/>
      <c r="AD87" s="340"/>
      <c r="AE87" s="345"/>
      <c r="AF87" s="340"/>
      <c r="AG87" s="340">
        <v>18</v>
      </c>
      <c r="AH87" s="340">
        <v>18</v>
      </c>
      <c r="AI87" s="344"/>
      <c r="AJ87" s="342"/>
      <c r="AK87" s="345"/>
      <c r="AL87" s="342"/>
      <c r="AM87" s="340"/>
      <c r="AN87" s="344"/>
      <c r="AO87" s="342"/>
      <c r="AP87" s="342"/>
      <c r="AQ87" s="342"/>
      <c r="AR87" s="344"/>
      <c r="AS87" s="342"/>
      <c r="AT87" s="342"/>
      <c r="AU87" s="342"/>
      <c r="AV87" s="344"/>
      <c r="AW87" s="342"/>
      <c r="AX87" s="342"/>
      <c r="AY87" s="342"/>
      <c r="AZ87" s="344"/>
      <c r="BA87" s="346"/>
      <c r="BB87" s="346"/>
      <c r="BC87" s="346"/>
      <c r="BD87" s="367"/>
      <c r="BE87" s="360"/>
      <c r="BF87" s="360"/>
      <c r="BG87" s="360">
        <v>8</v>
      </c>
      <c r="BH87" s="360">
        <v>8</v>
      </c>
      <c r="BI87" s="345"/>
      <c r="BJ87" s="345"/>
      <c r="BK87" s="340"/>
      <c r="BL87" s="345"/>
      <c r="BM87" s="345">
        <v>1</v>
      </c>
      <c r="BN87" s="347">
        <v>1</v>
      </c>
    </row>
    <row r="88" spans="1:66" ht="12">
      <c r="A88" s="340">
        <f t="shared" si="12"/>
        <v>28</v>
      </c>
      <c r="B88" s="341" t="s">
        <v>49</v>
      </c>
      <c r="C88" s="340">
        <v>56</v>
      </c>
      <c r="D88" s="340" t="s">
        <v>41</v>
      </c>
      <c r="E88" s="342">
        <f t="shared" si="10"/>
        <v>2.898</v>
      </c>
      <c r="F88" s="342">
        <f t="shared" si="11"/>
        <v>2.16</v>
      </c>
      <c r="G88" s="342"/>
      <c r="H88" s="344"/>
      <c r="I88" s="342"/>
      <c r="J88" s="343"/>
      <c r="K88" s="342"/>
      <c r="L88" s="343">
        <v>0.006</v>
      </c>
      <c r="M88" s="344">
        <f>L88*483</f>
        <v>2.898</v>
      </c>
      <c r="N88" s="343">
        <v>0.006</v>
      </c>
      <c r="O88" s="344">
        <f>N88*360</f>
        <v>2.16</v>
      </c>
      <c r="P88" s="358"/>
      <c r="Q88" s="358"/>
      <c r="R88" s="358"/>
      <c r="S88" s="358"/>
      <c r="T88" s="358"/>
      <c r="U88" s="343"/>
      <c r="V88" s="342"/>
      <c r="W88" s="342"/>
      <c r="X88" s="342"/>
      <c r="Y88" s="345"/>
      <c r="Z88" s="340"/>
      <c r="AA88" s="340">
        <v>4</v>
      </c>
      <c r="AB88" s="345">
        <v>4</v>
      </c>
      <c r="AC88" s="340"/>
      <c r="AD88" s="340"/>
      <c r="AE88" s="345"/>
      <c r="AF88" s="340"/>
      <c r="AG88" s="340">
        <v>2.4</v>
      </c>
      <c r="AH88" s="340">
        <v>2.4</v>
      </c>
      <c r="AI88" s="344"/>
      <c r="AJ88" s="342"/>
      <c r="AK88" s="345"/>
      <c r="AL88" s="342"/>
      <c r="AM88" s="340"/>
      <c r="AN88" s="344"/>
      <c r="AO88" s="342"/>
      <c r="AP88" s="342"/>
      <c r="AQ88" s="342"/>
      <c r="AR88" s="344"/>
      <c r="AS88" s="342"/>
      <c r="AT88" s="342"/>
      <c r="AU88" s="342"/>
      <c r="AV88" s="344"/>
      <c r="AW88" s="342"/>
      <c r="AX88" s="342"/>
      <c r="AY88" s="342"/>
      <c r="AZ88" s="344"/>
      <c r="BA88" s="346"/>
      <c r="BB88" s="346"/>
      <c r="BC88" s="346"/>
      <c r="BD88" s="367"/>
      <c r="BE88" s="360"/>
      <c r="BF88" s="360"/>
      <c r="BG88" s="360">
        <v>2</v>
      </c>
      <c r="BH88" s="360">
        <v>2</v>
      </c>
      <c r="BI88" s="345"/>
      <c r="BJ88" s="345"/>
      <c r="BK88" s="340"/>
      <c r="BL88" s="345"/>
      <c r="BM88" s="345">
        <v>1</v>
      </c>
      <c r="BN88" s="347">
        <v>1</v>
      </c>
    </row>
    <row r="89" spans="1:66" ht="12">
      <c r="A89" s="340">
        <f t="shared" si="12"/>
        <v>29</v>
      </c>
      <c r="B89" s="341" t="s">
        <v>51</v>
      </c>
      <c r="C89" s="340">
        <v>33</v>
      </c>
      <c r="D89" s="340"/>
      <c r="E89" s="342">
        <f t="shared" si="10"/>
        <v>0</v>
      </c>
      <c r="F89" s="342">
        <f t="shared" si="11"/>
        <v>0</v>
      </c>
      <c r="G89" s="342"/>
      <c r="H89" s="344"/>
      <c r="I89" s="342"/>
      <c r="J89" s="343"/>
      <c r="K89" s="342"/>
      <c r="L89" s="343"/>
      <c r="M89" s="344"/>
      <c r="N89" s="343"/>
      <c r="O89" s="344"/>
      <c r="P89" s="358"/>
      <c r="Q89" s="358"/>
      <c r="R89" s="358"/>
      <c r="S89" s="344"/>
      <c r="T89" s="358"/>
      <c r="U89" s="343"/>
      <c r="V89" s="342"/>
      <c r="W89" s="342"/>
      <c r="X89" s="342"/>
      <c r="Y89" s="345"/>
      <c r="Z89" s="340"/>
      <c r="AA89" s="340">
        <v>62</v>
      </c>
      <c r="AB89" s="345">
        <v>62</v>
      </c>
      <c r="AC89" s="340"/>
      <c r="AD89" s="340"/>
      <c r="AE89" s="345"/>
      <c r="AF89" s="340"/>
      <c r="AG89" s="340">
        <v>14.5</v>
      </c>
      <c r="AH89" s="340">
        <v>14.5</v>
      </c>
      <c r="AI89" s="344"/>
      <c r="AJ89" s="342"/>
      <c r="AK89" s="345"/>
      <c r="AL89" s="342"/>
      <c r="AM89" s="340"/>
      <c r="AN89" s="344"/>
      <c r="AO89" s="342"/>
      <c r="AP89" s="342"/>
      <c r="AQ89" s="342"/>
      <c r="AR89" s="344"/>
      <c r="AS89" s="342"/>
      <c r="AT89" s="342"/>
      <c r="AU89" s="342"/>
      <c r="AV89" s="344"/>
      <c r="AW89" s="342"/>
      <c r="AX89" s="342"/>
      <c r="AY89" s="342"/>
      <c r="AZ89" s="344"/>
      <c r="BA89" s="346"/>
      <c r="BB89" s="346"/>
      <c r="BC89" s="346"/>
      <c r="BD89" s="367"/>
      <c r="BE89" s="360"/>
      <c r="BF89" s="360"/>
      <c r="BG89" s="360">
        <v>1</v>
      </c>
      <c r="BH89" s="360">
        <v>1</v>
      </c>
      <c r="BI89" s="345"/>
      <c r="BJ89" s="345"/>
      <c r="BK89" s="340"/>
      <c r="BL89" s="345"/>
      <c r="BM89" s="345">
        <v>1</v>
      </c>
      <c r="BN89" s="347">
        <v>1</v>
      </c>
    </row>
    <row r="90" spans="1:66" ht="12">
      <c r="A90" s="340">
        <f t="shared" si="12"/>
        <v>30</v>
      </c>
      <c r="B90" s="341" t="s">
        <v>51</v>
      </c>
      <c r="C90" s="340">
        <v>35</v>
      </c>
      <c r="D90" s="340"/>
      <c r="E90" s="342">
        <f t="shared" si="10"/>
        <v>25.7406</v>
      </c>
      <c r="F90" s="342">
        <f t="shared" si="11"/>
        <v>25.854000000000003</v>
      </c>
      <c r="G90" s="342"/>
      <c r="H90" s="344"/>
      <c r="I90" s="342"/>
      <c r="J90" s="343"/>
      <c r="K90" s="342"/>
      <c r="L90" s="343">
        <f>0.0427+0.015</f>
        <v>0.0577</v>
      </c>
      <c r="M90" s="344">
        <f>L90*201.5+42.7*0.2815</f>
        <v>23.6466</v>
      </c>
      <c r="N90" s="343">
        <v>0.066</v>
      </c>
      <c r="O90" s="344">
        <f>N90*360</f>
        <v>23.76</v>
      </c>
      <c r="P90" s="358"/>
      <c r="Q90" s="358"/>
      <c r="R90" s="358"/>
      <c r="S90" s="358"/>
      <c r="T90" s="358"/>
      <c r="U90" s="343">
        <v>0.002</v>
      </c>
      <c r="V90" s="342">
        <f>U90*1047</f>
        <v>2.094</v>
      </c>
      <c r="W90" s="343">
        <v>0.002</v>
      </c>
      <c r="X90" s="342">
        <f>W90*1047</f>
        <v>2.094</v>
      </c>
      <c r="Y90" s="345"/>
      <c r="Z90" s="340"/>
      <c r="AA90" s="340">
        <v>6</v>
      </c>
      <c r="AB90" s="345">
        <v>6</v>
      </c>
      <c r="AC90" s="340"/>
      <c r="AD90" s="340"/>
      <c r="AE90" s="345"/>
      <c r="AF90" s="340"/>
      <c r="AG90" s="340">
        <v>13.4</v>
      </c>
      <c r="AH90" s="340">
        <v>13.4</v>
      </c>
      <c r="AI90" s="344"/>
      <c r="AJ90" s="342"/>
      <c r="AK90" s="345"/>
      <c r="AL90" s="342"/>
      <c r="AM90" s="340"/>
      <c r="AN90" s="344"/>
      <c r="AO90" s="342"/>
      <c r="AP90" s="342"/>
      <c r="AQ90" s="342"/>
      <c r="AR90" s="344"/>
      <c r="AS90" s="342"/>
      <c r="AT90" s="342"/>
      <c r="AU90" s="342"/>
      <c r="AV90" s="344"/>
      <c r="AW90" s="342"/>
      <c r="AX90" s="342"/>
      <c r="AY90" s="342"/>
      <c r="AZ90" s="344"/>
      <c r="BA90" s="346"/>
      <c r="BB90" s="346"/>
      <c r="BC90" s="346"/>
      <c r="BD90" s="367"/>
      <c r="BE90" s="360"/>
      <c r="BF90" s="360"/>
      <c r="BG90" s="360">
        <v>6</v>
      </c>
      <c r="BH90" s="360">
        <v>6</v>
      </c>
      <c r="BI90" s="345"/>
      <c r="BJ90" s="345"/>
      <c r="BK90" s="340"/>
      <c r="BL90" s="345"/>
      <c r="BM90" s="345">
        <v>1</v>
      </c>
      <c r="BN90" s="347">
        <v>1</v>
      </c>
    </row>
    <row r="91" spans="1:66" ht="12">
      <c r="A91" s="340">
        <f t="shared" si="12"/>
        <v>31</v>
      </c>
      <c r="B91" s="341" t="s">
        <v>51</v>
      </c>
      <c r="C91" s="340">
        <v>39</v>
      </c>
      <c r="D91" s="340"/>
      <c r="E91" s="342">
        <f t="shared" si="10"/>
        <v>34.075</v>
      </c>
      <c r="F91" s="342">
        <f t="shared" si="11"/>
        <v>40.6</v>
      </c>
      <c r="G91" s="342"/>
      <c r="H91" s="344">
        <v>0.0235</v>
      </c>
      <c r="I91" s="342">
        <f>H91*1450</f>
        <v>34.075</v>
      </c>
      <c r="J91" s="344">
        <v>0.028</v>
      </c>
      <c r="K91" s="342">
        <f>J91*1450</f>
        <v>40.6</v>
      </c>
      <c r="L91" s="343"/>
      <c r="M91" s="344"/>
      <c r="N91" s="343"/>
      <c r="O91" s="344"/>
      <c r="P91" s="358"/>
      <c r="Q91" s="358"/>
      <c r="R91" s="358"/>
      <c r="S91" s="358"/>
      <c r="T91" s="358"/>
      <c r="U91" s="343"/>
      <c r="V91" s="342"/>
      <c r="W91" s="343"/>
      <c r="X91" s="342"/>
      <c r="Y91" s="345"/>
      <c r="Z91" s="340"/>
      <c r="AA91" s="340">
        <v>16</v>
      </c>
      <c r="AB91" s="345">
        <v>16</v>
      </c>
      <c r="AC91" s="340"/>
      <c r="AD91" s="340"/>
      <c r="AE91" s="345"/>
      <c r="AF91" s="340"/>
      <c r="AG91" s="340">
        <v>18</v>
      </c>
      <c r="AH91" s="340">
        <v>18</v>
      </c>
      <c r="AI91" s="344"/>
      <c r="AJ91" s="342"/>
      <c r="AK91" s="345"/>
      <c r="AL91" s="342"/>
      <c r="AM91" s="340"/>
      <c r="AN91" s="344"/>
      <c r="AO91" s="342"/>
      <c r="AP91" s="342"/>
      <c r="AQ91" s="342"/>
      <c r="AR91" s="344"/>
      <c r="AS91" s="342"/>
      <c r="AT91" s="342"/>
      <c r="AU91" s="342"/>
      <c r="AV91" s="344"/>
      <c r="AW91" s="342"/>
      <c r="AX91" s="342"/>
      <c r="AY91" s="342"/>
      <c r="AZ91" s="344"/>
      <c r="BA91" s="346"/>
      <c r="BB91" s="346"/>
      <c r="BC91" s="346"/>
      <c r="BD91" s="367"/>
      <c r="BE91" s="360"/>
      <c r="BF91" s="360"/>
      <c r="BG91" s="360">
        <v>8</v>
      </c>
      <c r="BH91" s="360">
        <v>8</v>
      </c>
      <c r="BI91" s="345"/>
      <c r="BJ91" s="345"/>
      <c r="BK91" s="340"/>
      <c r="BL91" s="345"/>
      <c r="BM91" s="345">
        <v>1</v>
      </c>
      <c r="BN91" s="347">
        <v>1</v>
      </c>
    </row>
    <row r="92" spans="1:66" ht="12">
      <c r="A92" s="340">
        <f t="shared" si="12"/>
        <v>32</v>
      </c>
      <c r="B92" s="341" t="s">
        <v>51</v>
      </c>
      <c r="C92" s="340">
        <v>41</v>
      </c>
      <c r="D92" s="340"/>
      <c r="E92" s="342">
        <f t="shared" si="10"/>
        <v>0</v>
      </c>
      <c r="F92" s="342">
        <f t="shared" si="11"/>
        <v>0</v>
      </c>
      <c r="G92" s="342"/>
      <c r="H92" s="344"/>
      <c r="I92" s="342"/>
      <c r="J92" s="343"/>
      <c r="K92" s="342"/>
      <c r="L92" s="343"/>
      <c r="M92" s="344"/>
      <c r="N92" s="343"/>
      <c r="O92" s="344"/>
      <c r="P92" s="358"/>
      <c r="Q92" s="358"/>
      <c r="R92" s="358"/>
      <c r="S92" s="358"/>
      <c r="T92" s="358"/>
      <c r="U92" s="343"/>
      <c r="V92" s="342"/>
      <c r="W92" s="343"/>
      <c r="X92" s="342"/>
      <c r="Y92" s="345"/>
      <c r="Z92" s="340"/>
      <c r="AA92" s="340">
        <v>10</v>
      </c>
      <c r="AB92" s="345">
        <v>10</v>
      </c>
      <c r="AC92" s="340"/>
      <c r="AD92" s="340"/>
      <c r="AE92" s="345"/>
      <c r="AF92" s="340"/>
      <c r="AG92" s="340"/>
      <c r="AH92" s="340"/>
      <c r="AI92" s="344"/>
      <c r="AJ92" s="342"/>
      <c r="AK92" s="345"/>
      <c r="AL92" s="342"/>
      <c r="AM92" s="340"/>
      <c r="AN92" s="344"/>
      <c r="AO92" s="342"/>
      <c r="AP92" s="342"/>
      <c r="AQ92" s="342"/>
      <c r="AR92" s="344"/>
      <c r="AS92" s="342"/>
      <c r="AT92" s="342"/>
      <c r="AU92" s="342"/>
      <c r="AV92" s="344"/>
      <c r="AW92" s="342"/>
      <c r="AX92" s="342"/>
      <c r="AY92" s="342"/>
      <c r="AZ92" s="344"/>
      <c r="BA92" s="346"/>
      <c r="BB92" s="346"/>
      <c r="BC92" s="346"/>
      <c r="BD92" s="367"/>
      <c r="BE92" s="360"/>
      <c r="BF92" s="360"/>
      <c r="BG92" s="360">
        <v>5</v>
      </c>
      <c r="BH92" s="360">
        <v>5</v>
      </c>
      <c r="BI92" s="345"/>
      <c r="BJ92" s="345"/>
      <c r="BK92" s="340"/>
      <c r="BL92" s="345"/>
      <c r="BM92" s="345">
        <v>1</v>
      </c>
      <c r="BN92" s="347">
        <v>1</v>
      </c>
    </row>
    <row r="93" spans="1:66" ht="12">
      <c r="A93" s="340">
        <f t="shared" si="12"/>
        <v>33</v>
      </c>
      <c r="B93" s="341" t="s">
        <v>51</v>
      </c>
      <c r="C93" s="340">
        <v>43</v>
      </c>
      <c r="D93" s="340"/>
      <c r="E93" s="342">
        <f t="shared" si="10"/>
        <v>13.23495</v>
      </c>
      <c r="F93" s="342">
        <f t="shared" si="11"/>
        <v>23.76</v>
      </c>
      <c r="G93" s="342"/>
      <c r="H93" s="344"/>
      <c r="I93" s="342"/>
      <c r="J93" s="343"/>
      <c r="K93" s="342"/>
      <c r="L93" s="343">
        <f>0.006+0.0513</f>
        <v>0.0573</v>
      </c>
      <c r="M93" s="344">
        <f>L93*201.5+6*0.2815</f>
        <v>13.23495</v>
      </c>
      <c r="N93" s="343">
        <v>0.066</v>
      </c>
      <c r="O93" s="344">
        <f>N93*360</f>
        <v>23.76</v>
      </c>
      <c r="P93" s="358"/>
      <c r="Q93" s="358"/>
      <c r="R93" s="358"/>
      <c r="S93" s="358"/>
      <c r="T93" s="358"/>
      <c r="U93" s="343"/>
      <c r="V93" s="342"/>
      <c r="W93" s="343"/>
      <c r="X93" s="342"/>
      <c r="Y93" s="345"/>
      <c r="Z93" s="340"/>
      <c r="AA93" s="340">
        <v>5</v>
      </c>
      <c r="AB93" s="345">
        <v>5</v>
      </c>
      <c r="AC93" s="340"/>
      <c r="AD93" s="340"/>
      <c r="AE93" s="345"/>
      <c r="AF93" s="340"/>
      <c r="AG93" s="340">
        <v>7.8</v>
      </c>
      <c r="AH93" s="340">
        <v>7.8</v>
      </c>
      <c r="AI93" s="344"/>
      <c r="AJ93" s="342"/>
      <c r="AK93" s="345"/>
      <c r="AL93" s="342"/>
      <c r="AM93" s="340"/>
      <c r="AN93" s="344"/>
      <c r="AO93" s="342"/>
      <c r="AP93" s="342"/>
      <c r="AQ93" s="342"/>
      <c r="AR93" s="344"/>
      <c r="AS93" s="342"/>
      <c r="AT93" s="342"/>
      <c r="AU93" s="342"/>
      <c r="AV93" s="344"/>
      <c r="AW93" s="342"/>
      <c r="AX93" s="342"/>
      <c r="AY93" s="342"/>
      <c r="AZ93" s="344"/>
      <c r="BA93" s="346"/>
      <c r="BB93" s="346"/>
      <c r="BC93" s="346"/>
      <c r="BD93" s="367"/>
      <c r="BE93" s="360"/>
      <c r="BF93" s="360"/>
      <c r="BG93" s="360">
        <v>5</v>
      </c>
      <c r="BH93" s="360">
        <v>5</v>
      </c>
      <c r="BI93" s="345"/>
      <c r="BJ93" s="345"/>
      <c r="BK93" s="340"/>
      <c r="BL93" s="345"/>
      <c r="BM93" s="345">
        <v>1</v>
      </c>
      <c r="BN93" s="347">
        <v>1</v>
      </c>
    </row>
    <row r="94" spans="1:66" ht="12">
      <c r="A94" s="340">
        <f t="shared" si="12"/>
        <v>34</v>
      </c>
      <c r="B94" s="341" t="s">
        <v>51</v>
      </c>
      <c r="C94" s="340">
        <v>51</v>
      </c>
      <c r="D94" s="340"/>
      <c r="E94" s="342">
        <f>I94+M94+Q94+V94+Z94+AD94+AJ94+AO94+AS94+AW94+BA94</f>
        <v>16.319699999999997</v>
      </c>
      <c r="F94" s="342">
        <f t="shared" si="11"/>
        <v>12.713999999999999</v>
      </c>
      <c r="G94" s="342"/>
      <c r="H94" s="344"/>
      <c r="I94" s="342"/>
      <c r="J94" s="343"/>
      <c r="K94" s="342"/>
      <c r="L94" s="343">
        <f>0.0272+0.0054</f>
        <v>0.0326</v>
      </c>
      <c r="M94" s="344">
        <f>L94*201.5+27.2*0.2815</f>
        <v>14.225699999999998</v>
      </c>
      <c r="N94" s="343">
        <v>0.0295</v>
      </c>
      <c r="O94" s="344">
        <f>N94*360</f>
        <v>10.62</v>
      </c>
      <c r="P94" s="358"/>
      <c r="Q94" s="358"/>
      <c r="R94" s="358"/>
      <c r="S94" s="358"/>
      <c r="T94" s="358"/>
      <c r="U94" s="343">
        <v>0.002</v>
      </c>
      <c r="V94" s="342">
        <f>U94*1047</f>
        <v>2.094</v>
      </c>
      <c r="W94" s="343">
        <v>0.002</v>
      </c>
      <c r="X94" s="342">
        <f>W94*1047</f>
        <v>2.094</v>
      </c>
      <c r="Y94" s="345"/>
      <c r="Z94" s="340"/>
      <c r="AA94" s="340">
        <v>10</v>
      </c>
      <c r="AB94" s="345">
        <v>10</v>
      </c>
      <c r="AC94" s="340"/>
      <c r="AD94" s="340"/>
      <c r="AE94" s="345"/>
      <c r="AF94" s="340"/>
      <c r="AG94" s="340">
        <v>11.2</v>
      </c>
      <c r="AH94" s="340">
        <v>11.2</v>
      </c>
      <c r="AI94" s="344"/>
      <c r="AJ94" s="342"/>
      <c r="AK94" s="345"/>
      <c r="AL94" s="342"/>
      <c r="AM94" s="340"/>
      <c r="AN94" s="368"/>
      <c r="AO94" s="369"/>
      <c r="AP94" s="344"/>
      <c r="AQ94" s="342"/>
      <c r="AR94" s="344"/>
      <c r="AS94" s="342"/>
      <c r="AT94" s="342"/>
      <c r="AU94" s="342"/>
      <c r="AV94" s="344"/>
      <c r="AW94" s="342"/>
      <c r="AX94" s="342"/>
      <c r="AY94" s="342"/>
      <c r="AZ94" s="344"/>
      <c r="BA94" s="346"/>
      <c r="BB94" s="346"/>
      <c r="BC94" s="346"/>
      <c r="BD94" s="367"/>
      <c r="BE94" s="360"/>
      <c r="BF94" s="360"/>
      <c r="BG94" s="360">
        <v>5</v>
      </c>
      <c r="BH94" s="360">
        <v>5</v>
      </c>
      <c r="BI94" s="345"/>
      <c r="BJ94" s="345"/>
      <c r="BK94" s="340"/>
      <c r="BL94" s="345"/>
      <c r="BM94" s="345">
        <v>1</v>
      </c>
      <c r="BN94" s="347">
        <v>1</v>
      </c>
    </row>
    <row r="95" spans="1:66" ht="12">
      <c r="A95" s="340">
        <f t="shared" si="12"/>
        <v>35</v>
      </c>
      <c r="B95" s="341" t="s">
        <v>51</v>
      </c>
      <c r="C95" s="340">
        <v>55</v>
      </c>
      <c r="D95" s="340"/>
      <c r="E95" s="342">
        <f t="shared" si="10"/>
        <v>47.481899999999996</v>
      </c>
      <c r="F95" s="342">
        <f t="shared" si="11"/>
        <v>42.36</v>
      </c>
      <c r="G95" s="342"/>
      <c r="H95" s="344">
        <v>0.06</v>
      </c>
      <c r="I95" s="342">
        <f>H95*475</f>
        <v>28.5</v>
      </c>
      <c r="J95" s="343">
        <v>0.06</v>
      </c>
      <c r="K95" s="342">
        <f>J95*475</f>
        <v>28.5</v>
      </c>
      <c r="L95" s="343">
        <v>0.0393</v>
      </c>
      <c r="M95" s="344">
        <f>L95*483</f>
        <v>18.9819</v>
      </c>
      <c r="N95" s="343">
        <v>0.0385</v>
      </c>
      <c r="O95" s="344">
        <f>N95*360</f>
        <v>13.86</v>
      </c>
      <c r="P95" s="358"/>
      <c r="Q95" s="358"/>
      <c r="R95" s="358"/>
      <c r="S95" s="358"/>
      <c r="T95" s="358"/>
      <c r="U95" s="343"/>
      <c r="V95" s="342"/>
      <c r="W95" s="343"/>
      <c r="X95" s="342"/>
      <c r="Y95" s="345"/>
      <c r="Z95" s="340"/>
      <c r="AA95" s="340">
        <v>16</v>
      </c>
      <c r="AB95" s="345">
        <v>16</v>
      </c>
      <c r="AC95" s="340"/>
      <c r="AD95" s="340"/>
      <c r="AE95" s="345"/>
      <c r="AF95" s="340"/>
      <c r="AG95" s="340">
        <v>18</v>
      </c>
      <c r="AH95" s="340">
        <v>18</v>
      </c>
      <c r="AI95" s="344"/>
      <c r="AJ95" s="342"/>
      <c r="AK95" s="345"/>
      <c r="AL95" s="342"/>
      <c r="AM95" s="340"/>
      <c r="AN95" s="344"/>
      <c r="AO95" s="342"/>
      <c r="AP95" s="342"/>
      <c r="AQ95" s="342"/>
      <c r="AR95" s="344"/>
      <c r="AS95" s="342"/>
      <c r="AT95" s="342"/>
      <c r="AU95" s="342"/>
      <c r="AV95" s="344"/>
      <c r="AW95" s="342"/>
      <c r="AX95" s="342"/>
      <c r="AY95" s="342"/>
      <c r="AZ95" s="344"/>
      <c r="BA95" s="346"/>
      <c r="BB95" s="346"/>
      <c r="BC95" s="346"/>
      <c r="BD95" s="367"/>
      <c r="BE95" s="360"/>
      <c r="BF95" s="360"/>
      <c r="BG95" s="360">
        <v>8</v>
      </c>
      <c r="BH95" s="360">
        <v>8</v>
      </c>
      <c r="BI95" s="345"/>
      <c r="BJ95" s="345"/>
      <c r="BK95" s="340"/>
      <c r="BL95" s="345"/>
      <c r="BM95" s="345">
        <v>1</v>
      </c>
      <c r="BN95" s="347">
        <v>1</v>
      </c>
    </row>
    <row r="96" spans="1:66" ht="12">
      <c r="A96" s="340">
        <f t="shared" si="12"/>
        <v>36</v>
      </c>
      <c r="B96" s="341" t="s">
        <v>51</v>
      </c>
      <c r="C96" s="340">
        <v>59</v>
      </c>
      <c r="D96" s="340"/>
      <c r="E96" s="342">
        <f t="shared" si="10"/>
        <v>0</v>
      </c>
      <c r="F96" s="342">
        <f t="shared" si="11"/>
        <v>0</v>
      </c>
      <c r="G96" s="342"/>
      <c r="H96" s="344"/>
      <c r="I96" s="342"/>
      <c r="J96" s="343"/>
      <c r="K96" s="342"/>
      <c r="L96" s="343"/>
      <c r="M96" s="344"/>
      <c r="N96" s="343"/>
      <c r="O96" s="344"/>
      <c r="P96" s="358"/>
      <c r="Q96" s="358"/>
      <c r="R96" s="358"/>
      <c r="S96" s="358"/>
      <c r="T96" s="358"/>
      <c r="U96" s="343"/>
      <c r="V96" s="342"/>
      <c r="W96" s="343"/>
      <c r="X96" s="342"/>
      <c r="Y96" s="345"/>
      <c r="Z96" s="340"/>
      <c r="AA96" s="340">
        <v>2</v>
      </c>
      <c r="AB96" s="345">
        <v>2</v>
      </c>
      <c r="AC96" s="340"/>
      <c r="AD96" s="340"/>
      <c r="AE96" s="345"/>
      <c r="AF96" s="340"/>
      <c r="AG96" s="340">
        <v>20</v>
      </c>
      <c r="AH96" s="340">
        <v>20</v>
      </c>
      <c r="AI96" s="344"/>
      <c r="AJ96" s="342"/>
      <c r="AK96" s="345"/>
      <c r="AL96" s="342"/>
      <c r="AM96" s="340"/>
      <c r="AN96" s="344"/>
      <c r="AO96" s="342"/>
      <c r="AP96" s="342"/>
      <c r="AQ96" s="342"/>
      <c r="AR96" s="344"/>
      <c r="AS96" s="342"/>
      <c r="AT96" s="342"/>
      <c r="AU96" s="342"/>
      <c r="AV96" s="344"/>
      <c r="AW96" s="342"/>
      <c r="AX96" s="342"/>
      <c r="AY96" s="342"/>
      <c r="AZ96" s="344"/>
      <c r="BA96" s="346"/>
      <c r="BB96" s="346"/>
      <c r="BC96" s="346"/>
      <c r="BD96" s="367"/>
      <c r="BE96" s="360"/>
      <c r="BF96" s="360"/>
      <c r="BG96" s="360">
        <v>1</v>
      </c>
      <c r="BH96" s="360">
        <v>1</v>
      </c>
      <c r="BI96" s="345"/>
      <c r="BJ96" s="345"/>
      <c r="BK96" s="340"/>
      <c r="BL96" s="345"/>
      <c r="BM96" s="345">
        <v>1</v>
      </c>
      <c r="BN96" s="347">
        <v>1</v>
      </c>
    </row>
    <row r="97" spans="1:66" s="355" customFormat="1" ht="12">
      <c r="A97" s="340">
        <f t="shared" si="12"/>
        <v>37</v>
      </c>
      <c r="B97" s="341" t="s">
        <v>51</v>
      </c>
      <c r="C97" s="340">
        <v>59</v>
      </c>
      <c r="D97" s="340" t="s">
        <v>41</v>
      </c>
      <c r="E97" s="342">
        <f t="shared" si="10"/>
        <v>0</v>
      </c>
      <c r="F97" s="342">
        <f t="shared" si="11"/>
        <v>0</v>
      </c>
      <c r="G97" s="342"/>
      <c r="H97" s="344"/>
      <c r="I97" s="342"/>
      <c r="J97" s="343"/>
      <c r="K97" s="342"/>
      <c r="L97" s="343"/>
      <c r="M97" s="344"/>
      <c r="N97" s="343"/>
      <c r="O97" s="344"/>
      <c r="P97" s="358"/>
      <c r="Q97" s="358"/>
      <c r="R97" s="358"/>
      <c r="S97" s="358"/>
      <c r="T97" s="358"/>
      <c r="U97" s="343"/>
      <c r="V97" s="342"/>
      <c r="W97" s="343"/>
      <c r="X97" s="342"/>
      <c r="Y97" s="345"/>
      <c r="Z97" s="340"/>
      <c r="AA97" s="340">
        <v>2</v>
      </c>
      <c r="AB97" s="345">
        <v>2</v>
      </c>
      <c r="AC97" s="340"/>
      <c r="AD97" s="340"/>
      <c r="AE97" s="345"/>
      <c r="AF97" s="340"/>
      <c r="AG97" s="340">
        <v>20</v>
      </c>
      <c r="AH97" s="340">
        <v>20</v>
      </c>
      <c r="AI97" s="344"/>
      <c r="AJ97" s="342"/>
      <c r="AK97" s="345"/>
      <c r="AL97" s="342"/>
      <c r="AM97" s="340"/>
      <c r="AN97" s="344"/>
      <c r="AO97" s="342"/>
      <c r="AP97" s="342"/>
      <c r="AQ97" s="342"/>
      <c r="AR97" s="344"/>
      <c r="AS97" s="342"/>
      <c r="AT97" s="342"/>
      <c r="AU97" s="342"/>
      <c r="AV97" s="344"/>
      <c r="AW97" s="342"/>
      <c r="AX97" s="342"/>
      <c r="AY97" s="342"/>
      <c r="AZ97" s="344"/>
      <c r="BA97" s="346"/>
      <c r="BB97" s="346"/>
      <c r="BC97" s="346"/>
      <c r="BD97" s="367"/>
      <c r="BE97" s="360"/>
      <c r="BF97" s="360"/>
      <c r="BG97" s="360">
        <v>1</v>
      </c>
      <c r="BH97" s="360">
        <v>1</v>
      </c>
      <c r="BI97" s="345"/>
      <c r="BJ97" s="345"/>
      <c r="BK97" s="340"/>
      <c r="BL97" s="345"/>
      <c r="BM97" s="345">
        <v>1</v>
      </c>
      <c r="BN97" s="347">
        <v>1</v>
      </c>
    </row>
    <row r="98" spans="1:66" ht="39" customHeight="1">
      <c r="A98" s="340">
        <f t="shared" si="12"/>
        <v>38</v>
      </c>
      <c r="B98" s="341" t="s">
        <v>51</v>
      </c>
      <c r="C98" s="340">
        <v>61</v>
      </c>
      <c r="D98" s="340"/>
      <c r="E98" s="342">
        <f t="shared" si="10"/>
        <v>7.2933</v>
      </c>
      <c r="F98" s="342">
        <f t="shared" si="11"/>
        <v>8.172</v>
      </c>
      <c r="G98" s="342"/>
      <c r="H98" s="344"/>
      <c r="I98" s="342"/>
      <c r="J98" s="343"/>
      <c r="K98" s="342"/>
      <c r="L98" s="343">
        <v>0.0151</v>
      </c>
      <c r="M98" s="344">
        <f>L98*483</f>
        <v>7.2933</v>
      </c>
      <c r="N98" s="343">
        <v>0.0227</v>
      </c>
      <c r="O98" s="344">
        <f>N98*360</f>
        <v>8.172</v>
      </c>
      <c r="P98" s="358"/>
      <c r="Q98" s="358"/>
      <c r="R98" s="358"/>
      <c r="S98" s="358"/>
      <c r="T98" s="358"/>
      <c r="U98" s="343"/>
      <c r="V98" s="342"/>
      <c r="W98" s="343"/>
      <c r="X98" s="342"/>
      <c r="Y98" s="345"/>
      <c r="Z98" s="340"/>
      <c r="AA98" s="340">
        <v>12</v>
      </c>
      <c r="AB98" s="345">
        <v>12</v>
      </c>
      <c r="AC98" s="340"/>
      <c r="AD98" s="340"/>
      <c r="AE98" s="345"/>
      <c r="AF98" s="340"/>
      <c r="AG98" s="340"/>
      <c r="AH98" s="340"/>
      <c r="AI98" s="344"/>
      <c r="AJ98" s="342"/>
      <c r="AK98" s="345"/>
      <c r="AL98" s="342"/>
      <c r="AM98" s="340"/>
      <c r="AN98" s="344"/>
      <c r="AO98" s="342"/>
      <c r="AP98" s="342"/>
      <c r="AQ98" s="342"/>
      <c r="AR98" s="344"/>
      <c r="AS98" s="342"/>
      <c r="AT98" s="342"/>
      <c r="AU98" s="342"/>
      <c r="AV98" s="344"/>
      <c r="AW98" s="342"/>
      <c r="AX98" s="342"/>
      <c r="AY98" s="342"/>
      <c r="AZ98" s="344"/>
      <c r="BA98" s="346"/>
      <c r="BB98" s="346"/>
      <c r="BC98" s="346"/>
      <c r="BD98" s="367"/>
      <c r="BE98" s="360"/>
      <c r="BF98" s="360"/>
      <c r="BG98" s="360">
        <v>6</v>
      </c>
      <c r="BH98" s="360">
        <v>6</v>
      </c>
      <c r="BI98" s="345"/>
      <c r="BJ98" s="345"/>
      <c r="BK98" s="340"/>
      <c r="BL98" s="345"/>
      <c r="BM98" s="345">
        <v>1</v>
      </c>
      <c r="BN98" s="347">
        <v>1</v>
      </c>
    </row>
    <row r="99" spans="1:66" ht="36" customHeight="1">
      <c r="A99" s="340">
        <f t="shared" si="12"/>
        <v>39</v>
      </c>
      <c r="B99" s="341" t="s">
        <v>51</v>
      </c>
      <c r="C99" s="340">
        <v>61</v>
      </c>
      <c r="D99" s="340" t="s">
        <v>41</v>
      </c>
      <c r="E99" s="342">
        <f t="shared" si="10"/>
        <v>12.564</v>
      </c>
      <c r="F99" s="342">
        <f t="shared" si="11"/>
        <v>12.564</v>
      </c>
      <c r="G99" s="342"/>
      <c r="H99" s="344"/>
      <c r="I99" s="342"/>
      <c r="J99" s="343"/>
      <c r="K99" s="342"/>
      <c r="L99" s="343"/>
      <c r="M99" s="344"/>
      <c r="N99" s="343"/>
      <c r="O99" s="344"/>
      <c r="P99" s="358"/>
      <c r="Q99" s="358"/>
      <c r="R99" s="358"/>
      <c r="S99" s="344"/>
      <c r="T99" s="358"/>
      <c r="U99" s="343">
        <v>0.012</v>
      </c>
      <c r="V99" s="342">
        <f>U99*1047</f>
        <v>12.564</v>
      </c>
      <c r="W99" s="343">
        <v>0.012</v>
      </c>
      <c r="X99" s="342">
        <f>W99*1047</f>
        <v>12.564</v>
      </c>
      <c r="Y99" s="345"/>
      <c r="Z99" s="340"/>
      <c r="AA99" s="340">
        <v>62</v>
      </c>
      <c r="AB99" s="345"/>
      <c r="AC99" s="340"/>
      <c r="AD99" s="340"/>
      <c r="AE99" s="345"/>
      <c r="AF99" s="340"/>
      <c r="AG99" s="340">
        <v>2</v>
      </c>
      <c r="AH99" s="340"/>
      <c r="AI99" s="344"/>
      <c r="AJ99" s="342"/>
      <c r="AK99" s="345"/>
      <c r="AL99" s="342"/>
      <c r="AM99" s="340"/>
      <c r="AN99" s="344"/>
      <c r="AO99" s="342"/>
      <c r="AP99" s="342"/>
      <c r="AQ99" s="342"/>
      <c r="AR99" s="344"/>
      <c r="AS99" s="342"/>
      <c r="AT99" s="342"/>
      <c r="AU99" s="342"/>
      <c r="AV99" s="344"/>
      <c r="AW99" s="342"/>
      <c r="AX99" s="342"/>
      <c r="AY99" s="342"/>
      <c r="AZ99" s="344"/>
      <c r="BA99" s="346"/>
      <c r="BB99" s="346"/>
      <c r="BC99" s="346"/>
      <c r="BD99" s="367"/>
      <c r="BE99" s="360"/>
      <c r="BF99" s="360"/>
      <c r="BG99" s="360">
        <v>1</v>
      </c>
      <c r="BH99" s="360">
        <v>1</v>
      </c>
      <c r="BI99" s="345"/>
      <c r="BJ99" s="345"/>
      <c r="BK99" s="340"/>
      <c r="BL99" s="345"/>
      <c r="BM99" s="345">
        <v>1</v>
      </c>
      <c r="BN99" s="347">
        <v>1</v>
      </c>
    </row>
    <row r="100" spans="1:66" ht="12">
      <c r="A100" s="340">
        <f t="shared" si="12"/>
        <v>40</v>
      </c>
      <c r="B100" s="341" t="s">
        <v>51</v>
      </c>
      <c r="C100" s="340">
        <v>63</v>
      </c>
      <c r="D100" s="340"/>
      <c r="E100" s="342">
        <f t="shared" si="10"/>
        <v>11.6822</v>
      </c>
      <c r="F100" s="342">
        <f t="shared" si="11"/>
        <v>24.567</v>
      </c>
      <c r="G100" s="342"/>
      <c r="H100" s="344"/>
      <c r="I100" s="342"/>
      <c r="J100" s="343">
        <v>0.015</v>
      </c>
      <c r="K100" s="342">
        <f>J100*475</f>
        <v>7.125</v>
      </c>
      <c r="L100" s="343">
        <v>0.0268</v>
      </c>
      <c r="M100" s="344">
        <f>L100*201.5</f>
        <v>5.4002</v>
      </c>
      <c r="N100" s="343">
        <v>0.031</v>
      </c>
      <c r="O100" s="344">
        <f>N100*360</f>
        <v>11.16</v>
      </c>
      <c r="P100" s="358"/>
      <c r="Q100" s="358"/>
      <c r="R100" s="358"/>
      <c r="S100" s="358"/>
      <c r="T100" s="358"/>
      <c r="U100" s="343">
        <v>0.006</v>
      </c>
      <c r="V100" s="342">
        <f>U100*1047</f>
        <v>6.282</v>
      </c>
      <c r="W100" s="343">
        <v>0.006</v>
      </c>
      <c r="X100" s="342">
        <f>W100*1047</f>
        <v>6.282</v>
      </c>
      <c r="Y100" s="345"/>
      <c r="Z100" s="340"/>
      <c r="AA100" s="340">
        <v>10</v>
      </c>
      <c r="AB100" s="345">
        <v>10</v>
      </c>
      <c r="AC100" s="340"/>
      <c r="AD100" s="340"/>
      <c r="AE100" s="345"/>
      <c r="AF100" s="340"/>
      <c r="AG100" s="340">
        <v>10</v>
      </c>
      <c r="AH100" s="340">
        <v>10</v>
      </c>
      <c r="AI100" s="344"/>
      <c r="AJ100" s="342"/>
      <c r="AK100" s="345"/>
      <c r="AL100" s="342"/>
      <c r="AM100" s="340"/>
      <c r="AN100" s="344"/>
      <c r="AO100" s="342"/>
      <c r="AP100" s="342"/>
      <c r="AQ100" s="342"/>
      <c r="AR100" s="344"/>
      <c r="AS100" s="342"/>
      <c r="AT100" s="342"/>
      <c r="AU100" s="342"/>
      <c r="AV100" s="344"/>
      <c r="AW100" s="342"/>
      <c r="AX100" s="342"/>
      <c r="AY100" s="342"/>
      <c r="AZ100" s="344"/>
      <c r="BA100" s="346"/>
      <c r="BB100" s="346"/>
      <c r="BC100" s="346"/>
      <c r="BD100" s="367"/>
      <c r="BE100" s="360"/>
      <c r="BF100" s="360"/>
      <c r="BG100" s="360">
        <v>5</v>
      </c>
      <c r="BH100" s="360">
        <v>5</v>
      </c>
      <c r="BI100" s="345"/>
      <c r="BJ100" s="345"/>
      <c r="BK100" s="340"/>
      <c r="BL100" s="345"/>
      <c r="BM100" s="345">
        <v>1</v>
      </c>
      <c r="BN100" s="347">
        <v>1</v>
      </c>
    </row>
    <row r="101" spans="1:66" ht="12">
      <c r="A101" s="349">
        <f>A100</f>
        <v>40</v>
      </c>
      <c r="B101" s="350" t="s">
        <v>178</v>
      </c>
      <c r="C101" s="365"/>
      <c r="D101" s="365"/>
      <c r="E101" s="352">
        <f>SUM(E61:E100)</f>
        <v>461.54050000000007</v>
      </c>
      <c r="F101" s="352">
        <f>SUM(F61:F100)</f>
        <v>560.6320000000001</v>
      </c>
      <c r="G101" s="352"/>
      <c r="H101" s="354">
        <f>SUM(H61:H100)</f>
        <v>0.1465</v>
      </c>
      <c r="I101" s="352">
        <f>SUM(I61:I100)</f>
        <v>110.05</v>
      </c>
      <c r="J101" s="353">
        <f>SUM(J61:J100)</f>
        <v>0.34600000000000003</v>
      </c>
      <c r="K101" s="352">
        <f aca="true" t="shared" si="13" ref="K101:BN101">SUM(K61:K100)</f>
        <v>209.2</v>
      </c>
      <c r="L101" s="353">
        <f>SUM(L61:L100)</f>
        <v>0.8313</v>
      </c>
      <c r="M101" s="352">
        <f>SUM(M61:M100)</f>
        <v>245.1165</v>
      </c>
      <c r="N101" s="353">
        <f t="shared" si="13"/>
        <v>0.9064000000000002</v>
      </c>
      <c r="O101" s="352">
        <f t="shared" si="13"/>
        <v>326.30400000000003</v>
      </c>
      <c r="P101" s="354">
        <f>SUM(P61:P100)</f>
        <v>0</v>
      </c>
      <c r="Q101" s="354">
        <f>SUM(Q61:Q100)</f>
        <v>0</v>
      </c>
      <c r="R101" s="352">
        <f t="shared" si="13"/>
        <v>0</v>
      </c>
      <c r="S101" s="352">
        <f t="shared" si="13"/>
        <v>0</v>
      </c>
      <c r="T101" s="352">
        <f t="shared" si="13"/>
        <v>0</v>
      </c>
      <c r="U101" s="353">
        <f>SUM(U61:U100)</f>
        <v>0.024</v>
      </c>
      <c r="V101" s="354">
        <f>SUM(V61:V100)</f>
        <v>25.128</v>
      </c>
      <c r="W101" s="352">
        <f t="shared" si="13"/>
        <v>0.024</v>
      </c>
      <c r="X101" s="352">
        <f t="shared" si="13"/>
        <v>25.128</v>
      </c>
      <c r="Y101" s="349">
        <f t="shared" si="13"/>
        <v>0</v>
      </c>
      <c r="Z101" s="352">
        <f t="shared" si="13"/>
        <v>0</v>
      </c>
      <c r="AA101" s="349">
        <f>SUM(AA61:AA100)</f>
        <v>330</v>
      </c>
      <c r="AB101" s="349">
        <f t="shared" si="13"/>
        <v>268</v>
      </c>
      <c r="AC101" s="349">
        <f>SUM(AC61:AC100)</f>
        <v>0</v>
      </c>
      <c r="AD101" s="354">
        <f>SUM(AD61:AD100)</f>
        <v>0</v>
      </c>
      <c r="AE101" s="349">
        <f t="shared" si="13"/>
        <v>0</v>
      </c>
      <c r="AF101" s="352">
        <f t="shared" si="13"/>
        <v>0</v>
      </c>
      <c r="AG101" s="349">
        <f>SUM(AG61:AG100)</f>
        <v>225.70000000000002</v>
      </c>
      <c r="AH101" s="349">
        <f t="shared" si="13"/>
        <v>223.70000000000002</v>
      </c>
      <c r="AI101" s="349">
        <f>SUM(AI61:AI100)</f>
        <v>0</v>
      </c>
      <c r="AJ101" s="352">
        <f>SUM(AJ61:AJ100)</f>
        <v>0</v>
      </c>
      <c r="AK101" s="349">
        <f t="shared" si="13"/>
        <v>0</v>
      </c>
      <c r="AL101" s="352">
        <f t="shared" si="13"/>
        <v>0</v>
      </c>
      <c r="AM101" s="352">
        <f t="shared" si="13"/>
        <v>0</v>
      </c>
      <c r="AN101" s="354">
        <f>SUM(AN61:AN100)</f>
        <v>0</v>
      </c>
      <c r="AO101" s="354">
        <f>SUM(AO61:AO100)</f>
        <v>0</v>
      </c>
      <c r="AP101" s="352">
        <f t="shared" si="13"/>
        <v>0</v>
      </c>
      <c r="AQ101" s="352">
        <f t="shared" si="13"/>
        <v>0</v>
      </c>
      <c r="AR101" s="354">
        <f>SUM(AR61:AR100)</f>
        <v>0.1</v>
      </c>
      <c r="AS101" s="352">
        <f>SUM(AS94:AS100)</f>
        <v>0</v>
      </c>
      <c r="AT101" s="352">
        <f t="shared" si="13"/>
        <v>0</v>
      </c>
      <c r="AU101" s="352">
        <f t="shared" si="13"/>
        <v>0</v>
      </c>
      <c r="AV101" s="354">
        <f>SUM(AV61:AV100)</f>
        <v>0</v>
      </c>
      <c r="AW101" s="352"/>
      <c r="AX101" s="352">
        <f t="shared" si="13"/>
        <v>0</v>
      </c>
      <c r="AY101" s="352">
        <f t="shared" si="13"/>
        <v>0</v>
      </c>
      <c r="AZ101" s="354">
        <f>SUM(AZ61:AZ100)</f>
        <v>0</v>
      </c>
      <c r="BA101" s="352"/>
      <c r="BB101" s="352">
        <f t="shared" si="13"/>
        <v>0</v>
      </c>
      <c r="BC101" s="352">
        <f t="shared" si="13"/>
        <v>0</v>
      </c>
      <c r="BD101" s="352">
        <f t="shared" si="13"/>
        <v>0</v>
      </c>
      <c r="BE101" s="349">
        <f t="shared" si="13"/>
        <v>9</v>
      </c>
      <c r="BF101" s="349">
        <f>SUM(BF61:BF100)</f>
        <v>9</v>
      </c>
      <c r="BG101" s="349">
        <f t="shared" si="13"/>
        <v>145</v>
      </c>
      <c r="BH101" s="349">
        <f>SUM(BH61:BH100)</f>
        <v>145</v>
      </c>
      <c r="BI101" s="349">
        <f t="shared" si="13"/>
        <v>0</v>
      </c>
      <c r="BJ101" s="349">
        <f t="shared" si="13"/>
        <v>0</v>
      </c>
      <c r="BK101" s="349">
        <f>SUM(BK61:BK100)</f>
        <v>0</v>
      </c>
      <c r="BL101" s="349">
        <f t="shared" si="13"/>
        <v>0</v>
      </c>
      <c r="BM101" s="349">
        <f t="shared" si="13"/>
        <v>40</v>
      </c>
      <c r="BN101" s="349">
        <f t="shared" si="13"/>
        <v>40</v>
      </c>
    </row>
    <row r="102" spans="1:66" ht="36.75" thickBot="1">
      <c r="A102" s="340">
        <v>1</v>
      </c>
      <c r="B102" s="341" t="s">
        <v>67</v>
      </c>
      <c r="C102" s="340">
        <v>5</v>
      </c>
      <c r="D102" s="340"/>
      <c r="E102" s="342">
        <f aca="true" t="shared" si="14" ref="E102:E127">I102+M102+Q102+V102+Z102+AD102+AJ102+AO102+AS102+AW102+BA102</f>
        <v>102.5332</v>
      </c>
      <c r="F102" s="342">
        <f aca="true" t="shared" si="15" ref="F102:F127">K102+O102+S102+X102+AF102+AL102+AQ102+AU102+AY102+BC102</f>
        <v>118.63000000000001</v>
      </c>
      <c r="G102" s="342"/>
      <c r="H102" s="344"/>
      <c r="I102" s="342"/>
      <c r="J102" s="343"/>
      <c r="K102" s="342"/>
      <c r="L102" s="343">
        <v>0.206</v>
      </c>
      <c r="M102" s="344">
        <f>L102*360</f>
        <v>74.16</v>
      </c>
      <c r="N102" s="343">
        <v>0.3113</v>
      </c>
      <c r="O102" s="344">
        <f>N102*360</f>
        <v>112.06800000000001</v>
      </c>
      <c r="P102" s="344"/>
      <c r="Q102" s="344"/>
      <c r="R102" s="344"/>
      <c r="S102" s="344"/>
      <c r="T102" s="344"/>
      <c r="U102" s="343"/>
      <c r="V102" s="342"/>
      <c r="W102" s="343"/>
      <c r="X102" s="342"/>
      <c r="Y102" s="345"/>
      <c r="Z102" s="340"/>
      <c r="AA102" s="340"/>
      <c r="AB102" s="345"/>
      <c r="AC102" s="340"/>
      <c r="AD102" s="340"/>
      <c r="AE102" s="345"/>
      <c r="AF102" s="340"/>
      <c r="AG102" s="340"/>
      <c r="AH102" s="345"/>
      <c r="AI102" s="340">
        <v>384</v>
      </c>
      <c r="AJ102" s="342">
        <f>AI102*0.0568</f>
        <v>21.8112</v>
      </c>
      <c r="AK102" s="345"/>
      <c r="AL102" s="344"/>
      <c r="AM102" s="340"/>
      <c r="AN102" s="250" t="s">
        <v>147</v>
      </c>
      <c r="AO102" s="342">
        <f>34*0.193</f>
        <v>6.562</v>
      </c>
      <c r="AP102" s="250" t="s">
        <v>147</v>
      </c>
      <c r="AQ102" s="342">
        <f>34*0.193</f>
        <v>6.562</v>
      </c>
      <c r="AR102" s="344"/>
      <c r="AS102" s="342"/>
      <c r="AT102" s="342"/>
      <c r="AU102" s="342"/>
      <c r="AV102" s="344"/>
      <c r="AW102" s="342"/>
      <c r="AX102" s="342"/>
      <c r="AY102" s="342"/>
      <c r="AZ102" s="344"/>
      <c r="BA102" s="346"/>
      <c r="BB102" s="346"/>
      <c r="BC102" s="346"/>
      <c r="BD102" s="346"/>
      <c r="BE102" s="345"/>
      <c r="BF102" s="345"/>
      <c r="BG102" s="345">
        <v>10</v>
      </c>
      <c r="BH102" s="345">
        <v>10</v>
      </c>
      <c r="BI102" s="345"/>
      <c r="BJ102" s="345"/>
      <c r="BK102" s="340"/>
      <c r="BL102" s="345"/>
      <c r="BM102" s="345">
        <v>1</v>
      </c>
      <c r="BN102" s="347">
        <v>1</v>
      </c>
    </row>
    <row r="103" spans="1:66" ht="12" customHeight="1">
      <c r="A103" s="413" t="s">
        <v>0</v>
      </c>
      <c r="B103" s="414" t="s">
        <v>1</v>
      </c>
      <c r="C103" s="415"/>
      <c r="D103" s="416"/>
      <c r="E103" s="417" t="s">
        <v>2</v>
      </c>
      <c r="F103" s="418"/>
      <c r="G103" s="419"/>
      <c r="H103" s="420" t="s">
        <v>3</v>
      </c>
      <c r="I103" s="421"/>
      <c r="J103" s="421"/>
      <c r="K103" s="421"/>
      <c r="L103" s="422"/>
      <c r="M103" s="422"/>
      <c r="N103" s="422"/>
      <c r="O103" s="422"/>
      <c r="P103" s="422"/>
      <c r="Q103" s="422"/>
      <c r="R103" s="422"/>
      <c r="S103" s="422"/>
      <c r="T103" s="422"/>
      <c r="U103" s="422"/>
      <c r="V103" s="422"/>
      <c r="W103" s="422"/>
      <c r="X103" s="422"/>
      <c r="Y103" s="422"/>
      <c r="Z103" s="422"/>
      <c r="AA103" s="422"/>
      <c r="AB103" s="422"/>
      <c r="AC103" s="422"/>
      <c r="AD103" s="422"/>
      <c r="AE103" s="422"/>
      <c r="AF103" s="422"/>
      <c r="AG103" s="422"/>
      <c r="AH103" s="422"/>
      <c r="AI103" s="422"/>
      <c r="AJ103" s="422"/>
      <c r="AK103" s="422"/>
      <c r="AL103" s="422"/>
      <c r="AM103" s="422"/>
      <c r="AN103" s="422"/>
      <c r="AO103" s="422"/>
      <c r="AP103" s="422"/>
      <c r="AQ103" s="422"/>
      <c r="AR103" s="422"/>
      <c r="AS103" s="422"/>
      <c r="AT103" s="422"/>
      <c r="AU103" s="422"/>
      <c r="AV103" s="422"/>
      <c r="AW103" s="422"/>
      <c r="AX103" s="422"/>
      <c r="AY103" s="422"/>
      <c r="AZ103" s="422"/>
      <c r="BA103" s="422"/>
      <c r="BB103" s="422"/>
      <c r="BC103" s="422"/>
      <c r="BD103" s="422"/>
      <c r="BE103" s="422"/>
      <c r="BF103" s="422"/>
      <c r="BG103" s="422"/>
      <c r="BH103" s="422"/>
      <c r="BI103" s="422"/>
      <c r="BJ103" s="423"/>
      <c r="BK103" s="424" t="s">
        <v>4</v>
      </c>
      <c r="BL103" s="425"/>
      <c r="BM103" s="426" t="s">
        <v>5</v>
      </c>
      <c r="BN103" s="427"/>
    </row>
    <row r="104" spans="1:66" ht="12" customHeight="1">
      <c r="A104" s="428"/>
      <c r="B104" s="310"/>
      <c r="C104" s="311"/>
      <c r="D104" s="312"/>
      <c r="E104" s="313"/>
      <c r="F104" s="314"/>
      <c r="G104" s="315"/>
      <c r="H104" s="390" t="s">
        <v>9</v>
      </c>
      <c r="I104" s="391"/>
      <c r="J104" s="391"/>
      <c r="K104" s="391"/>
      <c r="L104" s="391"/>
      <c r="M104" s="391"/>
      <c r="N104" s="391"/>
      <c r="O104" s="391"/>
      <c r="P104" s="391"/>
      <c r="Q104" s="391"/>
      <c r="R104" s="391"/>
      <c r="S104" s="391"/>
      <c r="T104" s="391"/>
      <c r="U104" s="391"/>
      <c r="V104" s="391"/>
      <c r="W104" s="391"/>
      <c r="X104" s="391"/>
      <c r="Y104" s="391"/>
      <c r="Z104" s="391"/>
      <c r="AA104" s="391"/>
      <c r="AB104" s="391"/>
      <c r="AC104" s="391"/>
      <c r="AD104" s="391"/>
      <c r="AE104" s="391"/>
      <c r="AF104" s="391"/>
      <c r="AG104" s="391"/>
      <c r="AH104" s="391"/>
      <c r="AI104" s="391"/>
      <c r="AJ104" s="391"/>
      <c r="AK104" s="391"/>
      <c r="AL104" s="391"/>
      <c r="AM104" s="392"/>
      <c r="AN104" s="316" t="s">
        <v>10</v>
      </c>
      <c r="AO104" s="317"/>
      <c r="AP104" s="317"/>
      <c r="AQ104" s="317"/>
      <c r="AR104" s="318"/>
      <c r="AS104" s="318"/>
      <c r="AT104" s="318"/>
      <c r="AU104" s="318"/>
      <c r="AV104" s="318"/>
      <c r="AW104" s="318"/>
      <c r="AX104" s="318"/>
      <c r="AY104" s="318"/>
      <c r="AZ104" s="318"/>
      <c r="BA104" s="318"/>
      <c r="BB104" s="318"/>
      <c r="BC104" s="318"/>
      <c r="BD104" s="318"/>
      <c r="BE104" s="318"/>
      <c r="BF104" s="318"/>
      <c r="BG104" s="318"/>
      <c r="BH104" s="318"/>
      <c r="BI104" s="318"/>
      <c r="BJ104" s="319" t="s">
        <v>97</v>
      </c>
      <c r="BK104" s="320"/>
      <c r="BL104" s="321"/>
      <c r="BM104" s="322"/>
      <c r="BN104" s="429"/>
    </row>
    <row r="105" spans="1:66" ht="75" customHeight="1">
      <c r="A105" s="428"/>
      <c r="B105" s="323" t="s">
        <v>11</v>
      </c>
      <c r="C105" s="323" t="s">
        <v>12</v>
      </c>
      <c r="D105" s="323" t="s">
        <v>13</v>
      </c>
      <c r="E105" s="324" t="s">
        <v>170</v>
      </c>
      <c r="F105" s="324" t="s">
        <v>171</v>
      </c>
      <c r="G105" s="324" t="s">
        <v>16</v>
      </c>
      <c r="H105" s="325" t="s">
        <v>98</v>
      </c>
      <c r="I105" s="326"/>
      <c r="J105" s="326"/>
      <c r="K105" s="326"/>
      <c r="L105" s="325" t="s">
        <v>17</v>
      </c>
      <c r="M105" s="326"/>
      <c r="N105" s="327"/>
      <c r="O105" s="326"/>
      <c r="P105" s="325" t="s">
        <v>99</v>
      </c>
      <c r="Q105" s="326"/>
      <c r="R105" s="326"/>
      <c r="S105" s="326"/>
      <c r="T105" s="328" t="s">
        <v>18</v>
      </c>
      <c r="U105" s="329" t="s">
        <v>138</v>
      </c>
      <c r="V105" s="326"/>
      <c r="W105" s="326"/>
      <c r="X105" s="326"/>
      <c r="Y105" s="330" t="s">
        <v>19</v>
      </c>
      <c r="Z105" s="331"/>
      <c r="AA105" s="332" t="s">
        <v>86</v>
      </c>
      <c r="AB105" s="333"/>
      <c r="AC105" s="248" t="s">
        <v>87</v>
      </c>
      <c r="AD105" s="326"/>
      <c r="AE105" s="326"/>
      <c r="AF105" s="334"/>
      <c r="AG105" s="248" t="s">
        <v>88</v>
      </c>
      <c r="AH105" s="333"/>
      <c r="AI105" s="248" t="s">
        <v>139</v>
      </c>
      <c r="AJ105" s="326"/>
      <c r="AK105" s="326"/>
      <c r="AL105" s="326"/>
      <c r="AM105" s="332" t="s">
        <v>20</v>
      </c>
      <c r="AN105" s="325" t="s">
        <v>21</v>
      </c>
      <c r="AO105" s="326"/>
      <c r="AP105" s="326"/>
      <c r="AQ105" s="326"/>
      <c r="AR105" s="325" t="s">
        <v>22</v>
      </c>
      <c r="AS105" s="326"/>
      <c r="AT105" s="326"/>
      <c r="AU105" s="326"/>
      <c r="AV105" s="325" t="s">
        <v>23</v>
      </c>
      <c r="AW105" s="326"/>
      <c r="AX105" s="326"/>
      <c r="AY105" s="326"/>
      <c r="AZ105" s="325" t="s">
        <v>172</v>
      </c>
      <c r="BA105" s="326"/>
      <c r="BB105" s="326"/>
      <c r="BC105" s="326"/>
      <c r="BD105" s="335" t="s">
        <v>24</v>
      </c>
      <c r="BE105" s="330" t="s">
        <v>25</v>
      </c>
      <c r="BF105" s="333"/>
      <c r="BG105" s="330" t="s">
        <v>26</v>
      </c>
      <c r="BH105" s="333"/>
      <c r="BI105" s="336" t="s">
        <v>27</v>
      </c>
      <c r="BJ105" s="337"/>
      <c r="BK105" s="320"/>
      <c r="BL105" s="338"/>
      <c r="BM105" s="339"/>
      <c r="BN105" s="430"/>
    </row>
    <row r="106" spans="1:66" ht="12" customHeight="1" thickBot="1">
      <c r="A106" s="431"/>
      <c r="B106" s="432"/>
      <c r="C106" s="432"/>
      <c r="D106" s="432"/>
      <c r="E106" s="433"/>
      <c r="F106" s="433"/>
      <c r="G106" s="433"/>
      <c r="H106" s="434" t="s">
        <v>173</v>
      </c>
      <c r="I106" s="435" t="s">
        <v>29</v>
      </c>
      <c r="J106" s="435" t="s">
        <v>174</v>
      </c>
      <c r="K106" s="435" t="s">
        <v>29</v>
      </c>
      <c r="L106" s="434" t="s">
        <v>173</v>
      </c>
      <c r="M106" s="435" t="s">
        <v>29</v>
      </c>
      <c r="N106" s="436" t="s">
        <v>174</v>
      </c>
      <c r="O106" s="435" t="s">
        <v>29</v>
      </c>
      <c r="P106" s="437" t="s">
        <v>173</v>
      </c>
      <c r="Q106" s="435" t="s">
        <v>29</v>
      </c>
      <c r="R106" s="435" t="s">
        <v>174</v>
      </c>
      <c r="S106" s="435" t="s">
        <v>29</v>
      </c>
      <c r="T106" s="438"/>
      <c r="U106" s="437" t="s">
        <v>173</v>
      </c>
      <c r="V106" s="435" t="s">
        <v>29</v>
      </c>
      <c r="W106" s="435" t="s">
        <v>174</v>
      </c>
      <c r="X106" s="435" t="s">
        <v>29</v>
      </c>
      <c r="Y106" s="437" t="s">
        <v>31</v>
      </c>
      <c r="Z106" s="435" t="s">
        <v>29</v>
      </c>
      <c r="AA106" s="437" t="s">
        <v>173</v>
      </c>
      <c r="AB106" s="437" t="s">
        <v>174</v>
      </c>
      <c r="AC106" s="437" t="s">
        <v>173</v>
      </c>
      <c r="AD106" s="435" t="s">
        <v>29</v>
      </c>
      <c r="AE106" s="437" t="s">
        <v>174</v>
      </c>
      <c r="AF106" s="435" t="s">
        <v>29</v>
      </c>
      <c r="AG106" s="437" t="s">
        <v>173</v>
      </c>
      <c r="AH106" s="437" t="s">
        <v>174</v>
      </c>
      <c r="AI106" s="437" t="s">
        <v>173</v>
      </c>
      <c r="AJ106" s="435" t="s">
        <v>29</v>
      </c>
      <c r="AK106" s="437" t="s">
        <v>174</v>
      </c>
      <c r="AL106" s="435" t="s">
        <v>29</v>
      </c>
      <c r="AM106" s="432"/>
      <c r="AN106" s="437" t="s">
        <v>173</v>
      </c>
      <c r="AO106" s="435" t="s">
        <v>29</v>
      </c>
      <c r="AP106" s="435" t="s">
        <v>174</v>
      </c>
      <c r="AQ106" s="435" t="s">
        <v>29</v>
      </c>
      <c r="AR106" s="437" t="s">
        <v>173</v>
      </c>
      <c r="AS106" s="435" t="s">
        <v>29</v>
      </c>
      <c r="AT106" s="435" t="s">
        <v>174</v>
      </c>
      <c r="AU106" s="435" t="s">
        <v>29</v>
      </c>
      <c r="AV106" s="437" t="s">
        <v>173</v>
      </c>
      <c r="AW106" s="435" t="s">
        <v>29</v>
      </c>
      <c r="AX106" s="435" t="s">
        <v>174</v>
      </c>
      <c r="AY106" s="435" t="s">
        <v>29</v>
      </c>
      <c r="AZ106" s="437" t="s">
        <v>173</v>
      </c>
      <c r="BA106" s="435" t="s">
        <v>29</v>
      </c>
      <c r="BB106" s="435" t="s">
        <v>174</v>
      </c>
      <c r="BC106" s="439" t="s">
        <v>29</v>
      </c>
      <c r="BD106" s="440"/>
      <c r="BE106" s="437" t="s">
        <v>173</v>
      </c>
      <c r="BF106" s="437" t="s">
        <v>174</v>
      </c>
      <c r="BG106" s="437" t="s">
        <v>173</v>
      </c>
      <c r="BH106" s="437" t="s">
        <v>174</v>
      </c>
      <c r="BI106" s="441"/>
      <c r="BJ106" s="442"/>
      <c r="BK106" s="437" t="s">
        <v>173</v>
      </c>
      <c r="BL106" s="437" t="s">
        <v>174</v>
      </c>
      <c r="BM106" s="437" t="s">
        <v>173</v>
      </c>
      <c r="BN106" s="443" t="s">
        <v>174</v>
      </c>
    </row>
    <row r="107" spans="1:66" ht="36">
      <c r="A107" s="340">
        <f>A102+1</f>
        <v>2</v>
      </c>
      <c r="B107" s="341" t="s">
        <v>67</v>
      </c>
      <c r="C107" s="340">
        <v>9</v>
      </c>
      <c r="D107" s="340"/>
      <c r="E107" s="342">
        <f t="shared" si="14"/>
        <v>11.294</v>
      </c>
      <c r="F107" s="342">
        <f t="shared" si="15"/>
        <v>11.294</v>
      </c>
      <c r="G107" s="342"/>
      <c r="H107" s="344"/>
      <c r="I107" s="342"/>
      <c r="J107" s="343"/>
      <c r="K107" s="342"/>
      <c r="L107" s="343"/>
      <c r="M107" s="342"/>
      <c r="N107" s="343"/>
      <c r="O107" s="342"/>
      <c r="P107" s="344"/>
      <c r="Q107" s="344"/>
      <c r="R107" s="344"/>
      <c r="S107" s="344"/>
      <c r="T107" s="344"/>
      <c r="U107" s="343"/>
      <c r="V107" s="342"/>
      <c r="W107" s="343"/>
      <c r="X107" s="342"/>
      <c r="Y107" s="345"/>
      <c r="Z107" s="340"/>
      <c r="AA107" s="340"/>
      <c r="AB107" s="345"/>
      <c r="AC107" s="340"/>
      <c r="AD107" s="340"/>
      <c r="AE107" s="345"/>
      <c r="AF107" s="340"/>
      <c r="AG107" s="340"/>
      <c r="AH107" s="345"/>
      <c r="AI107" s="340"/>
      <c r="AJ107" s="342"/>
      <c r="AK107" s="345"/>
      <c r="AL107" s="342"/>
      <c r="AM107" s="340"/>
      <c r="AN107" s="250" t="s">
        <v>148</v>
      </c>
      <c r="AO107" s="342">
        <f>15*0.237+26*0.25+7*0.177</f>
        <v>11.294</v>
      </c>
      <c r="AP107" s="250" t="s">
        <v>148</v>
      </c>
      <c r="AQ107" s="342">
        <f>15*0.237+26*0.25+7*0.177</f>
        <v>11.294</v>
      </c>
      <c r="AR107" s="344"/>
      <c r="AS107" s="344"/>
      <c r="AT107" s="344"/>
      <c r="AU107" s="344"/>
      <c r="AV107" s="344"/>
      <c r="AW107" s="342"/>
      <c r="AX107" s="342"/>
      <c r="AY107" s="342"/>
      <c r="AZ107" s="344"/>
      <c r="BA107" s="346"/>
      <c r="BB107" s="346"/>
      <c r="BC107" s="346"/>
      <c r="BD107" s="346"/>
      <c r="BE107" s="345"/>
      <c r="BF107" s="345"/>
      <c r="BG107" s="345">
        <v>1</v>
      </c>
      <c r="BH107" s="345">
        <v>1</v>
      </c>
      <c r="BI107" s="345"/>
      <c r="BJ107" s="345"/>
      <c r="BK107" s="340"/>
      <c r="BL107" s="345"/>
      <c r="BM107" s="345">
        <v>1</v>
      </c>
      <c r="BN107" s="347"/>
    </row>
    <row r="108" spans="1:66" ht="12">
      <c r="A108" s="340">
        <f aca="true" t="shared" si="16" ref="A108:A127">A107+1</f>
        <v>3</v>
      </c>
      <c r="B108" s="341" t="s">
        <v>70</v>
      </c>
      <c r="C108" s="340">
        <v>30</v>
      </c>
      <c r="D108" s="340"/>
      <c r="E108" s="342">
        <f t="shared" si="14"/>
        <v>0</v>
      </c>
      <c r="F108" s="342">
        <f t="shared" si="15"/>
        <v>0</v>
      </c>
      <c r="G108" s="342"/>
      <c r="H108" s="344"/>
      <c r="I108" s="342"/>
      <c r="J108" s="343"/>
      <c r="K108" s="342"/>
      <c r="L108" s="343"/>
      <c r="M108" s="342"/>
      <c r="N108" s="343"/>
      <c r="O108" s="342"/>
      <c r="P108" s="344"/>
      <c r="Q108" s="344"/>
      <c r="R108" s="344"/>
      <c r="S108" s="344"/>
      <c r="T108" s="344"/>
      <c r="U108" s="343"/>
      <c r="V108" s="342"/>
      <c r="W108" s="343"/>
      <c r="X108" s="342"/>
      <c r="Y108" s="345"/>
      <c r="Z108" s="340"/>
      <c r="AA108" s="340"/>
      <c r="AB108" s="345"/>
      <c r="AC108" s="340"/>
      <c r="AD108" s="340"/>
      <c r="AE108" s="345"/>
      <c r="AF108" s="340"/>
      <c r="AG108" s="340"/>
      <c r="AH108" s="345"/>
      <c r="AI108" s="340"/>
      <c r="AJ108" s="342"/>
      <c r="AK108" s="345"/>
      <c r="AL108" s="342"/>
      <c r="AM108" s="340"/>
      <c r="AN108" s="344"/>
      <c r="AO108" s="342"/>
      <c r="AP108" s="344"/>
      <c r="AQ108" s="342"/>
      <c r="AR108" s="344"/>
      <c r="AS108" s="342"/>
      <c r="AT108" s="342"/>
      <c r="AU108" s="342"/>
      <c r="AV108" s="344"/>
      <c r="AW108" s="342"/>
      <c r="AX108" s="342"/>
      <c r="AY108" s="342"/>
      <c r="AZ108" s="344"/>
      <c r="BA108" s="346"/>
      <c r="BB108" s="346"/>
      <c r="BC108" s="346"/>
      <c r="BD108" s="346"/>
      <c r="BE108" s="345">
        <v>1</v>
      </c>
      <c r="BF108" s="345">
        <v>1</v>
      </c>
      <c r="BG108" s="345">
        <v>1</v>
      </c>
      <c r="BH108" s="345">
        <v>1</v>
      </c>
      <c r="BI108" s="345"/>
      <c r="BJ108" s="345"/>
      <c r="BK108" s="340"/>
      <c r="BL108" s="345"/>
      <c r="BM108" s="345">
        <v>1</v>
      </c>
      <c r="BN108" s="347">
        <v>1</v>
      </c>
    </row>
    <row r="109" spans="1:66" ht="12">
      <c r="A109" s="340">
        <f t="shared" si="16"/>
        <v>4</v>
      </c>
      <c r="B109" s="341" t="s">
        <v>37</v>
      </c>
      <c r="C109" s="340">
        <v>127</v>
      </c>
      <c r="D109" s="340"/>
      <c r="E109" s="342">
        <f t="shared" si="14"/>
        <v>1.08</v>
      </c>
      <c r="F109" s="342">
        <f t="shared" si="15"/>
        <v>3.024</v>
      </c>
      <c r="G109" s="342"/>
      <c r="H109" s="344"/>
      <c r="I109" s="342"/>
      <c r="J109" s="343"/>
      <c r="K109" s="342"/>
      <c r="L109" s="343">
        <v>0.003</v>
      </c>
      <c r="M109" s="344">
        <f aca="true" t="shared" si="17" ref="M109:M115">L109*360</f>
        <v>1.08</v>
      </c>
      <c r="N109" s="343">
        <v>0.0084</v>
      </c>
      <c r="O109" s="344">
        <f>N109*360</f>
        <v>3.024</v>
      </c>
      <c r="P109" s="344"/>
      <c r="Q109" s="344"/>
      <c r="R109" s="344"/>
      <c r="S109" s="344"/>
      <c r="T109" s="344"/>
      <c r="U109" s="343"/>
      <c r="V109" s="342"/>
      <c r="W109" s="343"/>
      <c r="X109" s="342"/>
      <c r="Y109" s="345"/>
      <c r="Z109" s="340"/>
      <c r="AA109" s="340"/>
      <c r="AB109" s="345"/>
      <c r="AC109" s="340"/>
      <c r="AD109" s="340"/>
      <c r="AE109" s="345"/>
      <c r="AF109" s="340"/>
      <c r="AG109" s="340"/>
      <c r="AH109" s="345"/>
      <c r="AI109" s="340"/>
      <c r="AJ109" s="342"/>
      <c r="AK109" s="345"/>
      <c r="AL109" s="342"/>
      <c r="AM109" s="340"/>
      <c r="AN109" s="344"/>
      <c r="AO109" s="342"/>
      <c r="AP109" s="344"/>
      <c r="AQ109" s="342"/>
      <c r="AR109" s="344"/>
      <c r="AS109" s="342"/>
      <c r="AT109" s="342"/>
      <c r="AU109" s="342"/>
      <c r="AV109" s="344"/>
      <c r="AW109" s="342"/>
      <c r="AX109" s="344"/>
      <c r="AY109" s="342"/>
      <c r="AZ109" s="344"/>
      <c r="BA109" s="346"/>
      <c r="BB109" s="346"/>
      <c r="BC109" s="346"/>
      <c r="BD109" s="346"/>
      <c r="BE109" s="345"/>
      <c r="BF109" s="345"/>
      <c r="BG109" s="345">
        <v>2</v>
      </c>
      <c r="BH109" s="345">
        <v>2</v>
      </c>
      <c r="BI109" s="345"/>
      <c r="BJ109" s="345"/>
      <c r="BK109" s="340"/>
      <c r="BL109" s="345"/>
      <c r="BM109" s="345">
        <v>1</v>
      </c>
      <c r="BN109" s="347">
        <v>1</v>
      </c>
    </row>
    <row r="110" spans="1:66" ht="12">
      <c r="A110" s="340">
        <f t="shared" si="16"/>
        <v>5</v>
      </c>
      <c r="B110" s="341" t="s">
        <v>37</v>
      </c>
      <c r="C110" s="340">
        <v>127</v>
      </c>
      <c r="D110" s="340" t="s">
        <v>41</v>
      </c>
      <c r="E110" s="342">
        <f t="shared" si="14"/>
        <v>51.174400000000006</v>
      </c>
      <c r="F110" s="342">
        <f t="shared" si="15"/>
        <v>12.096</v>
      </c>
      <c r="G110" s="342"/>
      <c r="H110" s="344">
        <v>0.016</v>
      </c>
      <c r="I110" s="342">
        <f>H110*707</f>
        <v>11.312</v>
      </c>
      <c r="J110" s="343"/>
      <c r="K110" s="342"/>
      <c r="L110" s="343">
        <v>0.029</v>
      </c>
      <c r="M110" s="344">
        <f t="shared" si="17"/>
        <v>10.440000000000001</v>
      </c>
      <c r="N110" s="343">
        <v>0.0336</v>
      </c>
      <c r="O110" s="344">
        <f>N110*360</f>
        <v>12.096</v>
      </c>
      <c r="P110" s="344"/>
      <c r="Q110" s="344"/>
      <c r="R110" s="344"/>
      <c r="S110" s="344"/>
      <c r="T110" s="344"/>
      <c r="U110" s="343"/>
      <c r="V110" s="342"/>
      <c r="W110" s="343"/>
      <c r="X110" s="342"/>
      <c r="Y110" s="345"/>
      <c r="Z110" s="340"/>
      <c r="AA110" s="340"/>
      <c r="AB110" s="345"/>
      <c r="AC110" s="340"/>
      <c r="AD110" s="340"/>
      <c r="AE110" s="345"/>
      <c r="AF110" s="340"/>
      <c r="AG110" s="340"/>
      <c r="AH110" s="345"/>
      <c r="AI110" s="340">
        <v>518</v>
      </c>
      <c r="AJ110" s="342">
        <f>AI110*0.0568</f>
        <v>29.422400000000003</v>
      </c>
      <c r="AK110" s="345"/>
      <c r="AL110" s="344"/>
      <c r="AM110" s="340"/>
      <c r="AN110" s="344"/>
      <c r="AO110" s="342"/>
      <c r="AP110" s="344"/>
      <c r="AQ110" s="342"/>
      <c r="AR110" s="344"/>
      <c r="AS110" s="342"/>
      <c r="AT110" s="344"/>
      <c r="AU110" s="342"/>
      <c r="AV110" s="344"/>
      <c r="AW110" s="342"/>
      <c r="AX110" s="342"/>
      <c r="AY110" s="342"/>
      <c r="AZ110" s="344"/>
      <c r="BA110" s="346"/>
      <c r="BB110" s="346"/>
      <c r="BC110" s="346"/>
      <c r="BD110" s="346"/>
      <c r="BE110" s="345"/>
      <c r="BF110" s="345"/>
      <c r="BG110" s="345">
        <v>12</v>
      </c>
      <c r="BH110" s="345">
        <v>12</v>
      </c>
      <c r="BI110" s="345"/>
      <c r="BJ110" s="345"/>
      <c r="BK110" s="340"/>
      <c r="BL110" s="345"/>
      <c r="BM110" s="345">
        <v>1</v>
      </c>
      <c r="BN110" s="347">
        <v>1</v>
      </c>
    </row>
    <row r="111" spans="1:66" ht="49.5" customHeight="1">
      <c r="A111" s="340">
        <f t="shared" si="16"/>
        <v>6</v>
      </c>
      <c r="B111" s="341" t="s">
        <v>37</v>
      </c>
      <c r="C111" s="340">
        <v>129</v>
      </c>
      <c r="D111" s="340"/>
      <c r="E111" s="342">
        <f t="shared" si="14"/>
        <v>137.99120000000002</v>
      </c>
      <c r="F111" s="342">
        <f t="shared" si="15"/>
        <v>158.1556</v>
      </c>
      <c r="G111" s="342"/>
      <c r="H111" s="344">
        <f>0.03+0.008</f>
        <v>0.038</v>
      </c>
      <c r="I111" s="342">
        <f>H111*326+8*0.381</f>
        <v>15.436</v>
      </c>
      <c r="J111" s="344">
        <v>0.01</v>
      </c>
      <c r="K111" s="342">
        <f>J111*326</f>
        <v>3.2600000000000002</v>
      </c>
      <c r="L111" s="343">
        <v>0.25</v>
      </c>
      <c r="M111" s="344">
        <f t="shared" si="17"/>
        <v>90</v>
      </c>
      <c r="N111" s="343">
        <v>0.4103</v>
      </c>
      <c r="O111" s="344">
        <f>N111*360</f>
        <v>147.708</v>
      </c>
      <c r="P111" s="344"/>
      <c r="Q111" s="344"/>
      <c r="R111" s="344"/>
      <c r="S111" s="344"/>
      <c r="T111" s="344"/>
      <c r="U111" s="343">
        <v>0.014</v>
      </c>
      <c r="V111" s="342">
        <f>U111*523</f>
        <v>7.322</v>
      </c>
      <c r="W111" s="343">
        <v>0.0072</v>
      </c>
      <c r="X111" s="342">
        <f>W111*523</f>
        <v>3.7656</v>
      </c>
      <c r="Y111" s="345"/>
      <c r="Z111" s="340"/>
      <c r="AA111" s="340"/>
      <c r="AB111" s="345"/>
      <c r="AC111" s="340"/>
      <c r="AD111" s="340"/>
      <c r="AE111" s="345"/>
      <c r="AF111" s="340"/>
      <c r="AG111" s="340"/>
      <c r="AH111" s="345"/>
      <c r="AI111" s="340">
        <v>384</v>
      </c>
      <c r="AJ111" s="342">
        <f>AI111*0.0568</f>
        <v>21.8112</v>
      </c>
      <c r="AK111" s="345"/>
      <c r="AL111" s="344"/>
      <c r="AM111" s="340"/>
      <c r="AN111" s="250" t="s">
        <v>149</v>
      </c>
      <c r="AO111" s="342">
        <f>6*0.237+8*0.25</f>
        <v>3.4219999999999997</v>
      </c>
      <c r="AP111" s="250" t="s">
        <v>149</v>
      </c>
      <c r="AQ111" s="342">
        <f>6*0.237+8*0.25</f>
        <v>3.4219999999999997</v>
      </c>
      <c r="AR111" s="344"/>
      <c r="AS111" s="342"/>
      <c r="AT111" s="344"/>
      <c r="AU111" s="342"/>
      <c r="AV111" s="344"/>
      <c r="AW111" s="342"/>
      <c r="AX111" s="342"/>
      <c r="AY111" s="342"/>
      <c r="AZ111" s="344"/>
      <c r="BA111" s="346"/>
      <c r="BB111" s="346"/>
      <c r="BC111" s="346"/>
      <c r="BD111" s="346"/>
      <c r="BE111" s="345"/>
      <c r="BF111" s="345"/>
      <c r="BG111" s="345">
        <v>10</v>
      </c>
      <c r="BH111" s="345">
        <v>10</v>
      </c>
      <c r="BI111" s="345"/>
      <c r="BJ111" s="345"/>
      <c r="BK111" s="340"/>
      <c r="BL111" s="345"/>
      <c r="BM111" s="345">
        <v>1</v>
      </c>
      <c r="BN111" s="347">
        <v>1</v>
      </c>
    </row>
    <row r="112" spans="1:66" ht="12">
      <c r="A112" s="340">
        <f t="shared" si="16"/>
        <v>7</v>
      </c>
      <c r="B112" s="341" t="s">
        <v>37</v>
      </c>
      <c r="C112" s="340">
        <v>131</v>
      </c>
      <c r="D112" s="340"/>
      <c r="E112" s="342">
        <f t="shared" si="14"/>
        <v>3.2600000000000002</v>
      </c>
      <c r="F112" s="342">
        <f t="shared" si="15"/>
        <v>1.956</v>
      </c>
      <c r="G112" s="342"/>
      <c r="H112" s="344">
        <v>0.01</v>
      </c>
      <c r="I112" s="342">
        <f>H112*326</f>
        <v>3.2600000000000002</v>
      </c>
      <c r="J112" s="344">
        <v>0.006</v>
      </c>
      <c r="K112" s="342">
        <f>J112*326</f>
        <v>1.956</v>
      </c>
      <c r="L112" s="343"/>
      <c r="M112" s="344">
        <f t="shared" si="17"/>
        <v>0</v>
      </c>
      <c r="N112" s="343"/>
      <c r="O112" s="342"/>
      <c r="P112" s="344"/>
      <c r="Q112" s="344"/>
      <c r="R112" s="344"/>
      <c r="S112" s="344"/>
      <c r="T112" s="344"/>
      <c r="U112" s="343"/>
      <c r="V112" s="342"/>
      <c r="W112" s="343"/>
      <c r="X112" s="342"/>
      <c r="Y112" s="345"/>
      <c r="Z112" s="340"/>
      <c r="AA112" s="340"/>
      <c r="AB112" s="345"/>
      <c r="AC112" s="340"/>
      <c r="AD112" s="340"/>
      <c r="AE112" s="345"/>
      <c r="AF112" s="340"/>
      <c r="AG112" s="340"/>
      <c r="AH112" s="345"/>
      <c r="AI112" s="340"/>
      <c r="AJ112" s="342"/>
      <c r="AK112" s="345"/>
      <c r="AL112" s="342"/>
      <c r="AM112" s="340"/>
      <c r="AN112" s="344"/>
      <c r="AO112" s="342"/>
      <c r="AP112" s="342"/>
      <c r="AQ112" s="342"/>
      <c r="AR112" s="344"/>
      <c r="AS112" s="342"/>
      <c r="AT112" s="342"/>
      <c r="AU112" s="342"/>
      <c r="AV112" s="344"/>
      <c r="AW112" s="342"/>
      <c r="AX112" s="342"/>
      <c r="AY112" s="342"/>
      <c r="AZ112" s="344"/>
      <c r="BA112" s="346"/>
      <c r="BB112" s="346"/>
      <c r="BC112" s="346"/>
      <c r="BD112" s="346"/>
      <c r="BE112" s="345"/>
      <c r="BF112" s="345"/>
      <c r="BG112" s="345">
        <v>1</v>
      </c>
      <c r="BH112" s="345">
        <v>1</v>
      </c>
      <c r="BI112" s="345"/>
      <c r="BJ112" s="345"/>
      <c r="BK112" s="340"/>
      <c r="BL112" s="345"/>
      <c r="BM112" s="345">
        <v>1</v>
      </c>
      <c r="BN112" s="347">
        <v>1</v>
      </c>
    </row>
    <row r="113" spans="1:66" ht="12">
      <c r="A113" s="340">
        <f t="shared" si="16"/>
        <v>8</v>
      </c>
      <c r="B113" s="341" t="s">
        <v>37</v>
      </c>
      <c r="C113" s="340">
        <v>135</v>
      </c>
      <c r="D113" s="340"/>
      <c r="E113" s="342">
        <f t="shared" si="14"/>
        <v>116.776</v>
      </c>
      <c r="F113" s="342">
        <f t="shared" si="15"/>
        <v>134.444</v>
      </c>
      <c r="G113" s="342"/>
      <c r="H113" s="344">
        <f>0.01+0.024</f>
        <v>0.034</v>
      </c>
      <c r="I113" s="342">
        <f>H113*326+10*0.454+24*0.381</f>
        <v>24.768</v>
      </c>
      <c r="J113" s="344">
        <v>0.01</v>
      </c>
      <c r="K113" s="342">
        <f>J113*326</f>
        <v>3.2600000000000002</v>
      </c>
      <c r="L113" s="343">
        <f>0.113+0.07</f>
        <v>0.183</v>
      </c>
      <c r="M113" s="344">
        <f t="shared" si="17"/>
        <v>65.88</v>
      </c>
      <c r="N113" s="343">
        <v>0.3644</v>
      </c>
      <c r="O113" s="344">
        <f>N113*360</f>
        <v>131.184</v>
      </c>
      <c r="P113" s="344"/>
      <c r="Q113" s="344"/>
      <c r="R113" s="344"/>
      <c r="S113" s="344"/>
      <c r="T113" s="344"/>
      <c r="U113" s="343"/>
      <c r="V113" s="342"/>
      <c r="W113" s="343"/>
      <c r="X113" s="342"/>
      <c r="Y113" s="345"/>
      <c r="Z113" s="340"/>
      <c r="AA113" s="340"/>
      <c r="AB113" s="345"/>
      <c r="AC113" s="340"/>
      <c r="AD113" s="340"/>
      <c r="AE113" s="345"/>
      <c r="AF113" s="340"/>
      <c r="AG113" s="340"/>
      <c r="AH113" s="345"/>
      <c r="AI113" s="340">
        <v>460</v>
      </c>
      <c r="AJ113" s="342">
        <f>AI113*0.0568</f>
        <v>26.128</v>
      </c>
      <c r="AK113" s="345"/>
      <c r="AL113" s="344"/>
      <c r="AM113" s="340"/>
      <c r="AN113" s="344"/>
      <c r="AO113" s="342"/>
      <c r="AP113" s="342"/>
      <c r="AQ113" s="342"/>
      <c r="AR113" s="344"/>
      <c r="AS113" s="342"/>
      <c r="AT113" s="342"/>
      <c r="AU113" s="342"/>
      <c r="AV113" s="344"/>
      <c r="AW113" s="342"/>
      <c r="AX113" s="342"/>
      <c r="AY113" s="342"/>
      <c r="AZ113" s="344"/>
      <c r="BA113" s="346"/>
      <c r="BB113" s="346"/>
      <c r="BC113" s="346"/>
      <c r="BD113" s="346"/>
      <c r="BE113" s="345"/>
      <c r="BF113" s="345"/>
      <c r="BG113" s="345">
        <v>12</v>
      </c>
      <c r="BH113" s="345">
        <v>12</v>
      </c>
      <c r="BI113" s="345"/>
      <c r="BJ113" s="345"/>
      <c r="BK113" s="340"/>
      <c r="BL113" s="345"/>
      <c r="BM113" s="345">
        <v>1</v>
      </c>
      <c r="BN113" s="347"/>
    </row>
    <row r="114" spans="1:66" ht="12">
      <c r="A114" s="340">
        <f t="shared" si="16"/>
        <v>9</v>
      </c>
      <c r="B114" s="341" t="s">
        <v>72</v>
      </c>
      <c r="C114" s="340">
        <v>2</v>
      </c>
      <c r="D114" s="340"/>
      <c r="E114" s="342">
        <f t="shared" si="14"/>
        <v>81</v>
      </c>
      <c r="F114" s="342">
        <f t="shared" si="15"/>
        <v>110.34</v>
      </c>
      <c r="G114" s="342"/>
      <c r="H114" s="344"/>
      <c r="I114" s="342"/>
      <c r="J114" s="344"/>
      <c r="K114" s="342"/>
      <c r="L114" s="343">
        <v>0.225</v>
      </c>
      <c r="M114" s="344">
        <f t="shared" si="17"/>
        <v>81</v>
      </c>
      <c r="N114" s="343">
        <v>0.3065</v>
      </c>
      <c r="O114" s="344">
        <f>N114*360</f>
        <v>110.34</v>
      </c>
      <c r="P114" s="344"/>
      <c r="Q114" s="344"/>
      <c r="R114" s="344"/>
      <c r="S114" s="344"/>
      <c r="T114" s="344"/>
      <c r="U114" s="343"/>
      <c r="V114" s="342"/>
      <c r="W114" s="343"/>
      <c r="X114" s="344"/>
      <c r="Y114" s="345"/>
      <c r="Z114" s="340"/>
      <c r="AA114" s="340"/>
      <c r="AB114" s="345"/>
      <c r="AC114" s="340"/>
      <c r="AD114" s="340"/>
      <c r="AE114" s="345"/>
      <c r="AF114" s="340"/>
      <c r="AG114" s="340"/>
      <c r="AH114" s="345"/>
      <c r="AI114" s="340"/>
      <c r="AJ114" s="342"/>
      <c r="AK114" s="345"/>
      <c r="AL114" s="342"/>
      <c r="AM114" s="340"/>
      <c r="AN114" s="344"/>
      <c r="AO114" s="342"/>
      <c r="AP114" s="342"/>
      <c r="AQ114" s="342"/>
      <c r="AR114" s="344"/>
      <c r="AS114" s="342"/>
      <c r="AT114" s="342"/>
      <c r="AU114" s="342"/>
      <c r="AV114" s="344"/>
      <c r="AW114" s="342"/>
      <c r="AX114" s="342"/>
      <c r="AY114" s="342"/>
      <c r="AZ114" s="344"/>
      <c r="BA114" s="346"/>
      <c r="BB114" s="346"/>
      <c r="BC114" s="346"/>
      <c r="BD114" s="346"/>
      <c r="BE114" s="345"/>
      <c r="BF114" s="345"/>
      <c r="BG114" s="345">
        <v>10</v>
      </c>
      <c r="BH114" s="345">
        <v>10</v>
      </c>
      <c r="BI114" s="345"/>
      <c r="BJ114" s="345"/>
      <c r="BK114" s="340"/>
      <c r="BL114" s="345">
        <v>1</v>
      </c>
      <c r="BM114" s="345">
        <v>1</v>
      </c>
      <c r="BN114" s="347">
        <v>1</v>
      </c>
    </row>
    <row r="115" spans="1:66" ht="12">
      <c r="A115" s="340">
        <f t="shared" si="16"/>
        <v>10</v>
      </c>
      <c r="B115" s="341" t="s">
        <v>72</v>
      </c>
      <c r="C115" s="340">
        <v>6</v>
      </c>
      <c r="D115" s="340"/>
      <c r="E115" s="342">
        <f t="shared" si="14"/>
        <v>52.7285</v>
      </c>
      <c r="F115" s="342">
        <f t="shared" si="15"/>
        <v>80.136</v>
      </c>
      <c r="G115" s="342"/>
      <c r="H115" s="344"/>
      <c r="I115" s="342"/>
      <c r="J115" s="343"/>
      <c r="K115" s="342"/>
      <c r="L115" s="343">
        <v>0.1</v>
      </c>
      <c r="M115" s="344">
        <f t="shared" si="17"/>
        <v>36</v>
      </c>
      <c r="N115" s="343">
        <v>0.2226</v>
      </c>
      <c r="O115" s="344">
        <f>N115*360</f>
        <v>80.136</v>
      </c>
      <c r="P115" s="344"/>
      <c r="Q115" s="344"/>
      <c r="R115" s="344"/>
      <c r="S115" s="344"/>
      <c r="T115" s="344"/>
      <c r="U115" s="343">
        <v>0.0035</v>
      </c>
      <c r="V115" s="342">
        <f>U115*1047</f>
        <v>3.6645</v>
      </c>
      <c r="W115" s="343"/>
      <c r="X115" s="344"/>
      <c r="Y115" s="345"/>
      <c r="Z115" s="340"/>
      <c r="AA115" s="340"/>
      <c r="AB115" s="345"/>
      <c r="AC115" s="340"/>
      <c r="AD115" s="340"/>
      <c r="AE115" s="345"/>
      <c r="AF115" s="340"/>
      <c r="AG115" s="340"/>
      <c r="AH115" s="345"/>
      <c r="AI115" s="340">
        <v>230</v>
      </c>
      <c r="AJ115" s="342">
        <f>AI115*0.0568</f>
        <v>13.064</v>
      </c>
      <c r="AK115" s="345"/>
      <c r="AL115" s="342"/>
      <c r="AM115" s="340"/>
      <c r="AN115" s="250"/>
      <c r="AO115" s="342"/>
      <c r="AP115" s="250"/>
      <c r="AQ115" s="342"/>
      <c r="AR115" s="250"/>
      <c r="AS115" s="342"/>
      <c r="AT115" s="250"/>
      <c r="AU115" s="342"/>
      <c r="AV115" s="344"/>
      <c r="AW115" s="342"/>
      <c r="AX115" s="342"/>
      <c r="AY115" s="342"/>
      <c r="AZ115" s="344"/>
      <c r="BA115" s="346"/>
      <c r="BB115" s="346"/>
      <c r="BC115" s="346"/>
      <c r="BD115" s="346"/>
      <c r="BE115" s="345"/>
      <c r="BF115" s="345"/>
      <c r="BG115" s="345">
        <v>6</v>
      </c>
      <c r="BH115" s="345">
        <v>6</v>
      </c>
      <c r="BI115" s="345"/>
      <c r="BJ115" s="345"/>
      <c r="BK115" s="340"/>
      <c r="BL115" s="345"/>
      <c r="BM115" s="345">
        <v>1</v>
      </c>
      <c r="BN115" s="347"/>
    </row>
    <row r="116" spans="1:66" ht="12">
      <c r="A116" s="340">
        <f t="shared" si="16"/>
        <v>11</v>
      </c>
      <c r="B116" s="341" t="s">
        <v>65</v>
      </c>
      <c r="C116" s="340">
        <v>14</v>
      </c>
      <c r="D116" s="340"/>
      <c r="E116" s="342">
        <f t="shared" si="14"/>
        <v>9.08</v>
      </c>
      <c r="F116" s="342">
        <f t="shared" si="15"/>
        <v>0</v>
      </c>
      <c r="G116" s="342"/>
      <c r="H116" s="344">
        <v>0.01</v>
      </c>
      <c r="I116" s="342">
        <f>20*0.454</f>
        <v>9.08</v>
      </c>
      <c r="J116" s="343"/>
      <c r="K116" s="342"/>
      <c r="L116" s="343"/>
      <c r="M116" s="342"/>
      <c r="N116" s="343"/>
      <c r="O116" s="342"/>
      <c r="P116" s="344"/>
      <c r="Q116" s="344"/>
      <c r="R116" s="344"/>
      <c r="S116" s="344"/>
      <c r="T116" s="344"/>
      <c r="U116" s="343"/>
      <c r="V116" s="342"/>
      <c r="W116" s="343"/>
      <c r="X116" s="344"/>
      <c r="Y116" s="345"/>
      <c r="Z116" s="340"/>
      <c r="AA116" s="340"/>
      <c r="AB116" s="345"/>
      <c r="AC116" s="340"/>
      <c r="AD116" s="340"/>
      <c r="AE116" s="345"/>
      <c r="AF116" s="340"/>
      <c r="AG116" s="340"/>
      <c r="AH116" s="345"/>
      <c r="AI116" s="340"/>
      <c r="AJ116" s="342"/>
      <c r="AK116" s="345"/>
      <c r="AL116" s="342"/>
      <c r="AM116" s="340"/>
      <c r="AN116" s="344"/>
      <c r="AO116" s="342"/>
      <c r="AP116" s="344"/>
      <c r="AQ116" s="342"/>
      <c r="AR116" s="344"/>
      <c r="AS116" s="342"/>
      <c r="AT116" s="344"/>
      <c r="AU116" s="342"/>
      <c r="AV116" s="344"/>
      <c r="AW116" s="342"/>
      <c r="AX116" s="342"/>
      <c r="AY116" s="342"/>
      <c r="AZ116" s="344"/>
      <c r="BA116" s="346"/>
      <c r="BB116" s="346"/>
      <c r="BC116" s="346"/>
      <c r="BD116" s="346"/>
      <c r="BE116" s="345">
        <v>1</v>
      </c>
      <c r="BF116" s="345">
        <v>1</v>
      </c>
      <c r="BG116" s="345">
        <v>1</v>
      </c>
      <c r="BH116" s="345">
        <v>1</v>
      </c>
      <c r="BI116" s="345"/>
      <c r="BJ116" s="345"/>
      <c r="BK116" s="340"/>
      <c r="BL116" s="345"/>
      <c r="BM116" s="345">
        <v>1</v>
      </c>
      <c r="BN116" s="347"/>
    </row>
    <row r="117" spans="1:66" ht="12">
      <c r="A117" s="340">
        <f t="shared" si="16"/>
        <v>12</v>
      </c>
      <c r="B117" s="341" t="s">
        <v>51</v>
      </c>
      <c r="C117" s="340">
        <v>11</v>
      </c>
      <c r="D117" s="340"/>
      <c r="E117" s="342">
        <f t="shared" si="14"/>
        <v>93.2224</v>
      </c>
      <c r="F117" s="342">
        <f t="shared" si="15"/>
        <v>23.082</v>
      </c>
      <c r="G117" s="342"/>
      <c r="H117" s="344"/>
      <c r="I117" s="342"/>
      <c r="J117" s="343"/>
      <c r="K117" s="342"/>
      <c r="L117" s="343"/>
      <c r="M117" s="342"/>
      <c r="N117" s="343"/>
      <c r="O117" s="342"/>
      <c r="P117" s="344"/>
      <c r="Q117" s="344"/>
      <c r="R117" s="344"/>
      <c r="S117" s="344"/>
      <c r="T117" s="344"/>
      <c r="U117" s="343">
        <v>0.006</v>
      </c>
      <c r="V117" s="342">
        <f>U117*1047</f>
        <v>6.282</v>
      </c>
      <c r="W117" s="343">
        <v>0.0157</v>
      </c>
      <c r="X117" s="344">
        <f>V117</f>
        <v>6.282</v>
      </c>
      <c r="Y117" s="345"/>
      <c r="Z117" s="340"/>
      <c r="AA117" s="340"/>
      <c r="AB117" s="345"/>
      <c r="AC117" s="340">
        <v>4</v>
      </c>
      <c r="AD117" s="340">
        <f>4.2*4</f>
        <v>16.8</v>
      </c>
      <c r="AE117" s="340">
        <v>4</v>
      </c>
      <c r="AF117" s="340">
        <f>4.2*4</f>
        <v>16.8</v>
      </c>
      <c r="AG117" s="340"/>
      <c r="AH117" s="345"/>
      <c r="AI117" s="340">
        <v>48</v>
      </c>
      <c r="AJ117" s="342">
        <f>AI117*0.0568</f>
        <v>2.7264</v>
      </c>
      <c r="AK117" s="345"/>
      <c r="AL117" s="344"/>
      <c r="AM117" s="340"/>
      <c r="AN117" s="344"/>
      <c r="AO117" s="342"/>
      <c r="AP117" s="344"/>
      <c r="AQ117" s="342"/>
      <c r="AR117" s="250"/>
      <c r="AS117" s="342"/>
      <c r="AT117" s="250"/>
      <c r="AU117" s="342"/>
      <c r="AV117" s="344"/>
      <c r="AW117" s="342"/>
      <c r="AX117" s="342"/>
      <c r="AY117" s="342"/>
      <c r="AZ117" s="344">
        <v>0.1</v>
      </c>
      <c r="BA117" s="346">
        <v>67.414</v>
      </c>
      <c r="BB117" s="346"/>
      <c r="BC117" s="346"/>
      <c r="BD117" s="346"/>
      <c r="BE117" s="345"/>
      <c r="BF117" s="345"/>
      <c r="BG117" s="345">
        <v>2</v>
      </c>
      <c r="BH117" s="345">
        <v>2</v>
      </c>
      <c r="BI117" s="345"/>
      <c r="BJ117" s="345"/>
      <c r="BK117" s="340"/>
      <c r="BL117" s="345"/>
      <c r="BM117" s="345">
        <v>1</v>
      </c>
      <c r="BN117" s="347"/>
    </row>
    <row r="118" spans="1:66" ht="12">
      <c r="A118" s="340">
        <f t="shared" si="16"/>
        <v>13</v>
      </c>
      <c r="B118" s="341" t="s">
        <v>51</v>
      </c>
      <c r="C118" s="340">
        <v>13</v>
      </c>
      <c r="D118" s="340" t="s">
        <v>41</v>
      </c>
      <c r="E118" s="342">
        <f t="shared" si="14"/>
        <v>308.817</v>
      </c>
      <c r="F118" s="342">
        <f t="shared" si="15"/>
        <v>356.80824166666673</v>
      </c>
      <c r="G118" s="342"/>
      <c r="H118" s="344">
        <v>0.01</v>
      </c>
      <c r="I118" s="342">
        <f>H118*326</f>
        <v>3.2600000000000002</v>
      </c>
      <c r="J118" s="344">
        <v>0.01</v>
      </c>
      <c r="K118" s="342">
        <f>J118*326</f>
        <v>3.2600000000000002</v>
      </c>
      <c r="L118" s="343">
        <v>0.056</v>
      </c>
      <c r="M118" s="344">
        <f aca="true" t="shared" si="18" ref="M118:M123">L118*360</f>
        <v>20.16</v>
      </c>
      <c r="N118" s="343">
        <v>0.077</v>
      </c>
      <c r="O118" s="344">
        <f aca="true" t="shared" si="19" ref="O118:O123">N118*360</f>
        <v>27.72</v>
      </c>
      <c r="P118" s="344"/>
      <c r="Q118" s="344"/>
      <c r="R118" s="344"/>
      <c r="S118" s="344"/>
      <c r="T118" s="344"/>
      <c r="U118" s="343"/>
      <c r="V118" s="342"/>
      <c r="W118" s="343"/>
      <c r="X118" s="344"/>
      <c r="Y118" s="345"/>
      <c r="Z118" s="340"/>
      <c r="AA118" s="340"/>
      <c r="AB118" s="345"/>
      <c r="AC118" s="340"/>
      <c r="AD118" s="340"/>
      <c r="AE118" s="345"/>
      <c r="AF118" s="340"/>
      <c r="AG118" s="340"/>
      <c r="AH118" s="345"/>
      <c r="AI118" s="340"/>
      <c r="AJ118" s="342"/>
      <c r="AK118" s="345"/>
      <c r="AL118" s="344"/>
      <c r="AM118" s="340"/>
      <c r="AN118" s="250"/>
      <c r="AO118" s="342"/>
      <c r="AP118" s="344"/>
      <c r="AQ118" s="342"/>
      <c r="AR118" s="250">
        <v>0.12</v>
      </c>
      <c r="AS118" s="342">
        <v>285.397</v>
      </c>
      <c r="AT118" s="250">
        <v>0.137</v>
      </c>
      <c r="AU118" s="342">
        <f>AS118/AR118*AT118</f>
        <v>325.8282416666667</v>
      </c>
      <c r="AV118" s="250"/>
      <c r="AW118" s="342"/>
      <c r="AX118" s="342"/>
      <c r="AY118" s="342"/>
      <c r="AZ118" s="344"/>
      <c r="BA118" s="346"/>
      <c r="BB118" s="346"/>
      <c r="BC118" s="346"/>
      <c r="BD118" s="346"/>
      <c r="BE118" s="345"/>
      <c r="BF118" s="345"/>
      <c r="BG118" s="345">
        <v>5</v>
      </c>
      <c r="BH118" s="345">
        <v>5</v>
      </c>
      <c r="BI118" s="345"/>
      <c r="BJ118" s="345"/>
      <c r="BK118" s="340"/>
      <c r="BL118" s="345"/>
      <c r="BM118" s="345">
        <v>1</v>
      </c>
      <c r="BN118" s="347">
        <v>1</v>
      </c>
    </row>
    <row r="119" spans="1:66" ht="48">
      <c r="A119" s="340">
        <f t="shared" si="16"/>
        <v>14</v>
      </c>
      <c r="B119" s="341" t="s">
        <v>51</v>
      </c>
      <c r="C119" s="340">
        <v>13</v>
      </c>
      <c r="D119" s="340"/>
      <c r="E119" s="342">
        <f t="shared" si="14"/>
        <v>39.372</v>
      </c>
      <c r="F119" s="342">
        <f t="shared" si="15"/>
        <v>39.010999999999996</v>
      </c>
      <c r="G119" s="342"/>
      <c r="H119" s="344">
        <v>0.01</v>
      </c>
      <c r="I119" s="342">
        <f>H119*326</f>
        <v>3.2600000000000002</v>
      </c>
      <c r="J119" s="344">
        <v>0.0086</v>
      </c>
      <c r="K119" s="342">
        <f>J119*326</f>
        <v>2.8036</v>
      </c>
      <c r="L119" s="343">
        <v>0.029</v>
      </c>
      <c r="M119" s="344">
        <f t="shared" si="18"/>
        <v>10.440000000000001</v>
      </c>
      <c r="N119" s="343">
        <v>0.0477</v>
      </c>
      <c r="O119" s="344">
        <f t="shared" si="19"/>
        <v>17.172</v>
      </c>
      <c r="P119" s="344"/>
      <c r="Q119" s="344"/>
      <c r="R119" s="344"/>
      <c r="S119" s="344"/>
      <c r="T119" s="344"/>
      <c r="U119" s="343">
        <v>0.004</v>
      </c>
      <c r="V119" s="342">
        <f>U119*523</f>
        <v>2.092</v>
      </c>
      <c r="W119" s="343">
        <v>0.0038</v>
      </c>
      <c r="X119" s="342">
        <f>W119*523</f>
        <v>1.9874</v>
      </c>
      <c r="Y119" s="345"/>
      <c r="Z119" s="340"/>
      <c r="AA119" s="340"/>
      <c r="AB119" s="345"/>
      <c r="AC119" s="340"/>
      <c r="AD119" s="340"/>
      <c r="AE119" s="345"/>
      <c r="AF119" s="340"/>
      <c r="AG119" s="340"/>
      <c r="AH119" s="345"/>
      <c r="AI119" s="340">
        <v>115</v>
      </c>
      <c r="AJ119" s="342">
        <f>AI119*0.0568</f>
        <v>6.532</v>
      </c>
      <c r="AK119" s="345"/>
      <c r="AL119" s="342"/>
      <c r="AM119" s="340"/>
      <c r="AN119" s="250" t="s">
        <v>150</v>
      </c>
      <c r="AO119" s="342">
        <f>8*0.193+2*7.752</f>
        <v>17.048</v>
      </c>
      <c r="AP119" s="250" t="s">
        <v>150</v>
      </c>
      <c r="AQ119" s="342">
        <f>8*0.193+2*7.752</f>
        <v>17.048</v>
      </c>
      <c r="AR119" s="250"/>
      <c r="AS119" s="342"/>
      <c r="AT119" s="250"/>
      <c r="AU119" s="342"/>
      <c r="AV119" s="344"/>
      <c r="AW119" s="342"/>
      <c r="AX119" s="344"/>
      <c r="AY119" s="342"/>
      <c r="AZ119" s="344"/>
      <c r="BA119" s="346"/>
      <c r="BB119" s="346"/>
      <c r="BC119" s="346"/>
      <c r="BD119" s="346"/>
      <c r="BE119" s="345"/>
      <c r="BF119" s="345"/>
      <c r="BG119" s="345">
        <v>3</v>
      </c>
      <c r="BH119" s="345">
        <v>3</v>
      </c>
      <c r="BI119" s="345"/>
      <c r="BJ119" s="345"/>
      <c r="BK119" s="340"/>
      <c r="BL119" s="345"/>
      <c r="BM119" s="345">
        <v>1</v>
      </c>
      <c r="BN119" s="347"/>
    </row>
    <row r="120" spans="1:66" s="355" customFormat="1" ht="12">
      <c r="A120" s="340">
        <f t="shared" si="16"/>
        <v>15</v>
      </c>
      <c r="B120" s="341" t="s">
        <v>51</v>
      </c>
      <c r="C120" s="340">
        <v>13</v>
      </c>
      <c r="D120" s="340" t="s">
        <v>40</v>
      </c>
      <c r="E120" s="342">
        <f t="shared" si="14"/>
        <v>158.6968</v>
      </c>
      <c r="F120" s="342">
        <f t="shared" si="15"/>
        <v>61.93</v>
      </c>
      <c r="G120" s="342"/>
      <c r="H120" s="344">
        <v>0.02</v>
      </c>
      <c r="I120" s="342">
        <f>H120*326</f>
        <v>6.5200000000000005</v>
      </c>
      <c r="J120" s="344">
        <v>0.0222</v>
      </c>
      <c r="K120" s="342">
        <f>J120*326</f>
        <v>7.2372000000000005</v>
      </c>
      <c r="L120" s="343">
        <v>0.105</v>
      </c>
      <c r="M120" s="344">
        <f t="shared" si="18"/>
        <v>37.8</v>
      </c>
      <c r="N120" s="343">
        <v>0.1496</v>
      </c>
      <c r="O120" s="344">
        <f t="shared" si="19"/>
        <v>53.856</v>
      </c>
      <c r="P120" s="344"/>
      <c r="Q120" s="344"/>
      <c r="R120" s="344"/>
      <c r="S120" s="344"/>
      <c r="T120" s="344"/>
      <c r="U120" s="343">
        <f>0.003+0.01</f>
        <v>0.013000000000000001</v>
      </c>
      <c r="V120" s="342">
        <f>U120*1047-10*0.524</f>
        <v>8.371</v>
      </c>
      <c r="W120" s="343">
        <v>0.0016</v>
      </c>
      <c r="X120" s="342">
        <f>W120*523</f>
        <v>0.8368</v>
      </c>
      <c r="Y120" s="345"/>
      <c r="Z120" s="340"/>
      <c r="AA120" s="340"/>
      <c r="AB120" s="345"/>
      <c r="AC120" s="340"/>
      <c r="AD120" s="340"/>
      <c r="AE120" s="345"/>
      <c r="AF120" s="340"/>
      <c r="AG120" s="340"/>
      <c r="AH120" s="345"/>
      <c r="AI120" s="340">
        <v>86</v>
      </c>
      <c r="AJ120" s="342">
        <f>AI120*0.0568</f>
        <v>4.8848</v>
      </c>
      <c r="AK120" s="345"/>
      <c r="AL120" s="344"/>
      <c r="AM120" s="340"/>
      <c r="AN120" s="344"/>
      <c r="AO120" s="342"/>
      <c r="AP120" s="344"/>
      <c r="AQ120" s="342"/>
      <c r="AR120" s="344"/>
      <c r="AS120" s="342"/>
      <c r="AT120" s="342"/>
      <c r="AU120" s="342"/>
      <c r="AV120" s="344"/>
      <c r="AW120" s="342"/>
      <c r="AX120" s="342"/>
      <c r="AY120" s="342"/>
      <c r="AZ120" s="344">
        <v>0.15</v>
      </c>
      <c r="BA120" s="346">
        <v>101.121</v>
      </c>
      <c r="BB120" s="346"/>
      <c r="BC120" s="346"/>
      <c r="BD120" s="346"/>
      <c r="BE120" s="345"/>
      <c r="BF120" s="345"/>
      <c r="BG120" s="345">
        <v>4</v>
      </c>
      <c r="BH120" s="345">
        <v>4</v>
      </c>
      <c r="BI120" s="345"/>
      <c r="BJ120" s="345"/>
      <c r="BK120" s="340"/>
      <c r="BL120" s="345"/>
      <c r="BM120" s="345">
        <v>1</v>
      </c>
      <c r="BN120" s="347"/>
    </row>
    <row r="121" spans="1:66" ht="27" customHeight="1">
      <c r="A121" s="340">
        <f t="shared" si="16"/>
        <v>16</v>
      </c>
      <c r="B121" s="341" t="s">
        <v>51</v>
      </c>
      <c r="C121" s="340">
        <v>13</v>
      </c>
      <c r="D121" s="340" t="s">
        <v>73</v>
      </c>
      <c r="E121" s="342">
        <f t="shared" si="14"/>
        <v>10.7224</v>
      </c>
      <c r="F121" s="342">
        <f t="shared" si="15"/>
        <v>15.588</v>
      </c>
      <c r="G121" s="342"/>
      <c r="H121" s="344"/>
      <c r="I121" s="342"/>
      <c r="J121" s="343"/>
      <c r="K121" s="342"/>
      <c r="L121" s="343">
        <v>0.023</v>
      </c>
      <c r="M121" s="344">
        <f t="shared" si="18"/>
        <v>8.28</v>
      </c>
      <c r="N121" s="343">
        <v>0.0433</v>
      </c>
      <c r="O121" s="344">
        <f t="shared" si="19"/>
        <v>15.588</v>
      </c>
      <c r="P121" s="344"/>
      <c r="Q121" s="344"/>
      <c r="R121" s="344"/>
      <c r="S121" s="344"/>
      <c r="T121" s="344"/>
      <c r="U121" s="343"/>
      <c r="V121" s="342"/>
      <c r="W121" s="343"/>
      <c r="X121" s="344"/>
      <c r="Y121" s="345"/>
      <c r="Z121" s="340"/>
      <c r="AA121" s="340"/>
      <c r="AB121" s="345"/>
      <c r="AC121" s="340"/>
      <c r="AD121" s="340"/>
      <c r="AE121" s="345"/>
      <c r="AF121" s="340"/>
      <c r="AG121" s="340"/>
      <c r="AH121" s="345"/>
      <c r="AI121" s="340">
        <v>43</v>
      </c>
      <c r="AJ121" s="342">
        <f>AI121*0.0568</f>
        <v>2.4424</v>
      </c>
      <c r="AK121" s="345"/>
      <c r="AL121" s="342"/>
      <c r="AM121" s="340"/>
      <c r="AN121" s="344"/>
      <c r="AO121" s="342"/>
      <c r="AP121" s="344"/>
      <c r="AQ121" s="342"/>
      <c r="AR121" s="344"/>
      <c r="AS121" s="342"/>
      <c r="AT121" s="342"/>
      <c r="AU121" s="342"/>
      <c r="AV121" s="344"/>
      <c r="AW121" s="342"/>
      <c r="AX121" s="342"/>
      <c r="AY121" s="342"/>
      <c r="AZ121" s="344"/>
      <c r="BA121" s="346"/>
      <c r="BB121" s="346"/>
      <c r="BC121" s="346"/>
      <c r="BD121" s="346"/>
      <c r="BE121" s="345"/>
      <c r="BF121" s="345"/>
      <c r="BG121" s="345">
        <v>1</v>
      </c>
      <c r="BH121" s="345">
        <v>1</v>
      </c>
      <c r="BI121" s="345"/>
      <c r="BJ121" s="345"/>
      <c r="BK121" s="340"/>
      <c r="BL121" s="345"/>
      <c r="BM121" s="345">
        <v>1</v>
      </c>
      <c r="BN121" s="347"/>
    </row>
    <row r="122" spans="1:66" ht="12">
      <c r="A122" s="340">
        <f t="shared" si="16"/>
        <v>17</v>
      </c>
      <c r="B122" s="341" t="s">
        <v>51</v>
      </c>
      <c r="C122" s="340">
        <v>17</v>
      </c>
      <c r="D122" s="340" t="s">
        <v>41</v>
      </c>
      <c r="E122" s="342">
        <f t="shared" si="14"/>
        <v>57.8434</v>
      </c>
      <c r="F122" s="342">
        <f t="shared" si="15"/>
        <v>48.4234</v>
      </c>
      <c r="G122" s="342"/>
      <c r="H122" s="344">
        <f>0.03+0.016</f>
        <v>0.046</v>
      </c>
      <c r="I122" s="342">
        <f>H122*326+20*0.454+16*0.381</f>
        <v>30.172</v>
      </c>
      <c r="J122" s="343">
        <v>0.0359</v>
      </c>
      <c r="K122" s="342">
        <f aca="true" t="shared" si="20" ref="K122:K127">J122*326</f>
        <v>11.7034</v>
      </c>
      <c r="L122" s="343">
        <v>0.044</v>
      </c>
      <c r="M122" s="344">
        <f t="shared" si="18"/>
        <v>15.84</v>
      </c>
      <c r="N122" s="343">
        <v>0.102</v>
      </c>
      <c r="O122" s="344">
        <f t="shared" si="19"/>
        <v>36.72</v>
      </c>
      <c r="P122" s="344"/>
      <c r="Q122" s="344"/>
      <c r="R122" s="344"/>
      <c r="S122" s="344"/>
      <c r="T122" s="344"/>
      <c r="U122" s="343">
        <v>0.003</v>
      </c>
      <c r="V122" s="342">
        <f>U122*1047</f>
        <v>3.141</v>
      </c>
      <c r="W122" s="343"/>
      <c r="X122" s="344"/>
      <c r="Y122" s="345"/>
      <c r="Z122" s="340"/>
      <c r="AA122" s="340"/>
      <c r="AB122" s="345"/>
      <c r="AC122" s="340"/>
      <c r="AD122" s="340"/>
      <c r="AE122" s="345"/>
      <c r="AF122" s="340"/>
      <c r="AG122" s="340"/>
      <c r="AH122" s="345"/>
      <c r="AI122" s="340">
        <v>153</v>
      </c>
      <c r="AJ122" s="342">
        <f>AI122*0.0568</f>
        <v>8.6904</v>
      </c>
      <c r="AK122" s="345"/>
      <c r="AL122" s="344"/>
      <c r="AM122" s="340"/>
      <c r="AN122" s="344"/>
      <c r="AO122" s="342"/>
      <c r="AP122" s="344"/>
      <c r="AQ122" s="342"/>
      <c r="AR122" s="344"/>
      <c r="AS122" s="342"/>
      <c r="AT122" s="342"/>
      <c r="AU122" s="342"/>
      <c r="AV122" s="344"/>
      <c r="AW122" s="342"/>
      <c r="AX122" s="342"/>
      <c r="AY122" s="342"/>
      <c r="AZ122" s="344"/>
      <c r="BA122" s="346"/>
      <c r="BB122" s="346"/>
      <c r="BC122" s="346"/>
      <c r="BD122" s="346"/>
      <c r="BE122" s="345"/>
      <c r="BF122" s="345"/>
      <c r="BG122" s="345">
        <v>5</v>
      </c>
      <c r="BH122" s="345">
        <v>5</v>
      </c>
      <c r="BI122" s="345"/>
      <c r="BJ122" s="345"/>
      <c r="BK122" s="340"/>
      <c r="BL122" s="345"/>
      <c r="BM122" s="345">
        <v>1</v>
      </c>
      <c r="BN122" s="347"/>
    </row>
    <row r="123" spans="1:66" ht="12">
      <c r="A123" s="340">
        <f t="shared" si="16"/>
        <v>18</v>
      </c>
      <c r="B123" s="341" t="s">
        <v>51</v>
      </c>
      <c r="C123" s="340">
        <v>17</v>
      </c>
      <c r="D123" s="340"/>
      <c r="E123" s="342">
        <f t="shared" si="14"/>
        <v>85.85100000000001</v>
      </c>
      <c r="F123" s="342">
        <f t="shared" si="15"/>
        <v>48.4103</v>
      </c>
      <c r="G123" s="342"/>
      <c r="H123" s="344">
        <v>0.15</v>
      </c>
      <c r="I123" s="342">
        <f>H123*326+15*0.454</f>
        <v>55.71</v>
      </c>
      <c r="J123" s="343">
        <v>0.0225</v>
      </c>
      <c r="K123" s="342">
        <f t="shared" si="20"/>
        <v>7.335</v>
      </c>
      <c r="L123" s="343">
        <f>0.037+0.038</f>
        <v>0.075</v>
      </c>
      <c r="M123" s="344">
        <f t="shared" si="18"/>
        <v>27</v>
      </c>
      <c r="N123" s="343">
        <v>0.1125</v>
      </c>
      <c r="O123" s="344">
        <f t="shared" si="19"/>
        <v>40.5</v>
      </c>
      <c r="P123" s="344"/>
      <c r="Q123" s="344"/>
      <c r="R123" s="344"/>
      <c r="S123" s="344"/>
      <c r="T123" s="344"/>
      <c r="U123" s="343">
        <v>0.003</v>
      </c>
      <c r="V123" s="342">
        <f>U123*1047</f>
        <v>3.141</v>
      </c>
      <c r="W123" s="343">
        <v>0.0011</v>
      </c>
      <c r="X123" s="342">
        <f>W123*523</f>
        <v>0.5753</v>
      </c>
      <c r="Y123" s="345"/>
      <c r="Z123" s="340"/>
      <c r="AA123" s="340"/>
      <c r="AB123" s="345"/>
      <c r="AC123" s="340"/>
      <c r="AD123" s="340"/>
      <c r="AE123" s="345"/>
      <c r="AF123" s="340"/>
      <c r="AG123" s="340"/>
      <c r="AH123" s="345"/>
      <c r="AI123" s="340"/>
      <c r="AJ123" s="342"/>
      <c r="AK123" s="345"/>
      <c r="AL123" s="344"/>
      <c r="AM123" s="340"/>
      <c r="AN123" s="344"/>
      <c r="AO123" s="342"/>
      <c r="AP123" s="344"/>
      <c r="AQ123" s="342"/>
      <c r="AR123" s="344"/>
      <c r="AS123" s="342"/>
      <c r="AT123" s="342"/>
      <c r="AU123" s="342"/>
      <c r="AV123" s="344"/>
      <c r="AW123" s="342"/>
      <c r="AX123" s="342"/>
      <c r="AY123" s="342"/>
      <c r="AZ123" s="344"/>
      <c r="BA123" s="346"/>
      <c r="BB123" s="346"/>
      <c r="BC123" s="346"/>
      <c r="BD123" s="346"/>
      <c r="BE123" s="345"/>
      <c r="BF123" s="345"/>
      <c r="BG123" s="345">
        <v>5</v>
      </c>
      <c r="BH123" s="345">
        <v>5</v>
      </c>
      <c r="BI123" s="345"/>
      <c r="BJ123" s="345"/>
      <c r="BK123" s="340"/>
      <c r="BL123" s="345"/>
      <c r="BM123" s="345">
        <v>1</v>
      </c>
      <c r="BN123" s="347"/>
    </row>
    <row r="124" spans="1:66" ht="12">
      <c r="A124" s="340">
        <f t="shared" si="16"/>
        <v>19</v>
      </c>
      <c r="B124" s="341" t="s">
        <v>51</v>
      </c>
      <c r="C124" s="340">
        <v>19</v>
      </c>
      <c r="D124" s="340"/>
      <c r="E124" s="342">
        <f t="shared" si="14"/>
        <v>12.921</v>
      </c>
      <c r="F124" s="342">
        <f t="shared" si="15"/>
        <v>12.9344</v>
      </c>
      <c r="G124" s="342"/>
      <c r="H124" s="344">
        <v>0.03</v>
      </c>
      <c r="I124" s="342">
        <f>H124*326</f>
        <v>9.78</v>
      </c>
      <c r="J124" s="343">
        <v>0.0262</v>
      </c>
      <c r="K124" s="342">
        <f t="shared" si="20"/>
        <v>8.5412</v>
      </c>
      <c r="L124" s="343"/>
      <c r="M124" s="342"/>
      <c r="N124" s="343"/>
      <c r="O124" s="342"/>
      <c r="P124" s="344"/>
      <c r="Q124" s="344"/>
      <c r="R124" s="344"/>
      <c r="S124" s="344"/>
      <c r="T124" s="344"/>
      <c r="U124" s="343">
        <v>0.003</v>
      </c>
      <c r="V124" s="342">
        <f>U124*1047</f>
        <v>3.141</v>
      </c>
      <c r="W124" s="343">
        <v>0.0084</v>
      </c>
      <c r="X124" s="342">
        <f>W124*523</f>
        <v>4.393199999999999</v>
      </c>
      <c r="Y124" s="345"/>
      <c r="Z124" s="340"/>
      <c r="AA124" s="340"/>
      <c r="AB124" s="345"/>
      <c r="AC124" s="340"/>
      <c r="AD124" s="340"/>
      <c r="AE124" s="345"/>
      <c r="AF124" s="340"/>
      <c r="AG124" s="340"/>
      <c r="AH124" s="345"/>
      <c r="AI124" s="340"/>
      <c r="AJ124" s="342"/>
      <c r="AK124" s="345"/>
      <c r="AL124" s="342"/>
      <c r="AM124" s="340"/>
      <c r="AN124" s="250"/>
      <c r="AO124" s="342"/>
      <c r="AP124" s="250"/>
      <c r="AQ124" s="342"/>
      <c r="AR124" s="250"/>
      <c r="AS124" s="342"/>
      <c r="AT124" s="250"/>
      <c r="AU124" s="342"/>
      <c r="AV124" s="250"/>
      <c r="AW124" s="342"/>
      <c r="AX124" s="250"/>
      <c r="AY124" s="342"/>
      <c r="AZ124" s="344"/>
      <c r="BA124" s="346"/>
      <c r="BB124" s="346"/>
      <c r="BC124" s="346"/>
      <c r="BD124" s="346"/>
      <c r="BE124" s="345"/>
      <c r="BF124" s="345"/>
      <c r="BG124" s="345">
        <v>1</v>
      </c>
      <c r="BH124" s="345">
        <v>1</v>
      </c>
      <c r="BI124" s="345"/>
      <c r="BJ124" s="345"/>
      <c r="BK124" s="340"/>
      <c r="BL124" s="345"/>
      <c r="BM124" s="345">
        <v>1</v>
      </c>
      <c r="BN124" s="347"/>
    </row>
    <row r="125" spans="1:66" ht="36">
      <c r="A125" s="340">
        <f t="shared" si="16"/>
        <v>20</v>
      </c>
      <c r="B125" s="341" t="s">
        <v>51</v>
      </c>
      <c r="C125" s="340">
        <v>23</v>
      </c>
      <c r="D125" s="340"/>
      <c r="E125" s="342">
        <f t="shared" si="14"/>
        <v>42.035</v>
      </c>
      <c r="F125" s="342">
        <f t="shared" si="15"/>
        <v>43.208600000000004</v>
      </c>
      <c r="G125" s="342"/>
      <c r="H125" s="344">
        <v>0.025</v>
      </c>
      <c r="I125" s="342">
        <f>H125*326+47*0.454</f>
        <v>29.488</v>
      </c>
      <c r="J125" s="343">
        <v>0.0286</v>
      </c>
      <c r="K125" s="342">
        <f>J125*326+47*0.454</f>
        <v>30.6616</v>
      </c>
      <c r="L125" s="343"/>
      <c r="M125" s="342"/>
      <c r="N125" s="343"/>
      <c r="O125" s="342"/>
      <c r="P125" s="344"/>
      <c r="Q125" s="344"/>
      <c r="R125" s="344"/>
      <c r="S125" s="344"/>
      <c r="T125" s="344"/>
      <c r="U125" s="343"/>
      <c r="V125" s="342"/>
      <c r="W125" s="343"/>
      <c r="X125" s="342"/>
      <c r="Y125" s="345"/>
      <c r="Z125" s="340"/>
      <c r="AA125" s="340"/>
      <c r="AB125" s="345"/>
      <c r="AC125" s="340"/>
      <c r="AD125" s="340"/>
      <c r="AE125" s="345"/>
      <c r="AF125" s="340"/>
      <c r="AG125" s="340"/>
      <c r="AH125" s="345"/>
      <c r="AI125" s="340"/>
      <c r="AJ125" s="342"/>
      <c r="AK125" s="345"/>
      <c r="AL125" s="342"/>
      <c r="AM125" s="340"/>
      <c r="AN125" s="250" t="s">
        <v>151</v>
      </c>
      <c r="AO125" s="342">
        <f>18*0.237+31*0.25+3*0.177</f>
        <v>12.547</v>
      </c>
      <c r="AP125" s="250" t="s">
        <v>151</v>
      </c>
      <c r="AQ125" s="342">
        <f>18*0.237+31*0.25+3*0.177</f>
        <v>12.547</v>
      </c>
      <c r="AR125" s="344"/>
      <c r="AS125" s="342"/>
      <c r="AT125" s="342"/>
      <c r="AU125" s="342"/>
      <c r="AV125" s="344"/>
      <c r="AW125" s="342"/>
      <c r="AX125" s="342"/>
      <c r="AY125" s="342"/>
      <c r="AZ125" s="344"/>
      <c r="BA125" s="346"/>
      <c r="BB125" s="346"/>
      <c r="BC125" s="346"/>
      <c r="BD125" s="346"/>
      <c r="BE125" s="345"/>
      <c r="BF125" s="345"/>
      <c r="BG125" s="345">
        <v>1</v>
      </c>
      <c r="BH125" s="345">
        <v>1</v>
      </c>
      <c r="BI125" s="345"/>
      <c r="BJ125" s="345"/>
      <c r="BK125" s="340"/>
      <c r="BL125" s="345"/>
      <c r="BM125" s="345">
        <v>1</v>
      </c>
      <c r="BN125" s="347">
        <v>1</v>
      </c>
    </row>
    <row r="126" spans="1:66" ht="12">
      <c r="A126" s="340">
        <f t="shared" si="16"/>
        <v>21</v>
      </c>
      <c r="B126" s="341" t="s">
        <v>51</v>
      </c>
      <c r="C126" s="340">
        <v>25</v>
      </c>
      <c r="D126" s="340"/>
      <c r="E126" s="342">
        <f t="shared" si="14"/>
        <v>55.6156</v>
      </c>
      <c r="F126" s="342">
        <f t="shared" si="15"/>
        <v>53.901999999999994</v>
      </c>
      <c r="G126" s="342"/>
      <c r="H126" s="344">
        <v>0.015</v>
      </c>
      <c r="I126" s="342">
        <f>H126*326+10*0.454</f>
        <v>9.43</v>
      </c>
      <c r="J126" s="343">
        <v>0.023</v>
      </c>
      <c r="K126" s="342">
        <f t="shared" si="20"/>
        <v>7.498</v>
      </c>
      <c r="L126" s="343">
        <f>0.028+0.07</f>
        <v>0.098</v>
      </c>
      <c r="M126" s="344">
        <f>L126*360</f>
        <v>35.28</v>
      </c>
      <c r="N126" s="343">
        <v>0.1289</v>
      </c>
      <c r="O126" s="344">
        <f>N126*360</f>
        <v>46.403999999999996</v>
      </c>
      <c r="P126" s="344"/>
      <c r="Q126" s="344"/>
      <c r="R126" s="344"/>
      <c r="S126" s="344"/>
      <c r="T126" s="344"/>
      <c r="U126" s="343"/>
      <c r="V126" s="342"/>
      <c r="W126" s="343"/>
      <c r="X126" s="342"/>
      <c r="Y126" s="345"/>
      <c r="Z126" s="340"/>
      <c r="AA126" s="340"/>
      <c r="AB126" s="345"/>
      <c r="AC126" s="340"/>
      <c r="AD126" s="340"/>
      <c r="AE126" s="345"/>
      <c r="AF126" s="340"/>
      <c r="AG126" s="340"/>
      <c r="AH126" s="345"/>
      <c r="AI126" s="340">
        <v>192</v>
      </c>
      <c r="AJ126" s="342">
        <f>AI126*0.0568</f>
        <v>10.9056</v>
      </c>
      <c r="AK126" s="345"/>
      <c r="AL126" s="344"/>
      <c r="AM126" s="340"/>
      <c r="AN126" s="344"/>
      <c r="AO126" s="342"/>
      <c r="AP126" s="344"/>
      <c r="AQ126" s="342"/>
      <c r="AR126" s="250"/>
      <c r="AS126" s="342"/>
      <c r="AT126" s="250"/>
      <c r="AU126" s="342"/>
      <c r="AV126" s="344"/>
      <c r="AW126" s="342"/>
      <c r="AX126" s="342"/>
      <c r="AY126" s="342"/>
      <c r="AZ126" s="344"/>
      <c r="BA126" s="346"/>
      <c r="BB126" s="346"/>
      <c r="BC126" s="346"/>
      <c r="BD126" s="346"/>
      <c r="BE126" s="345"/>
      <c r="BF126" s="345"/>
      <c r="BG126" s="345">
        <v>5</v>
      </c>
      <c r="BH126" s="345">
        <v>5</v>
      </c>
      <c r="BI126" s="345"/>
      <c r="BJ126" s="345"/>
      <c r="BK126" s="340"/>
      <c r="BL126" s="345"/>
      <c r="BM126" s="345">
        <v>1</v>
      </c>
      <c r="BN126" s="347"/>
    </row>
    <row r="127" spans="1:66" ht="12">
      <c r="A127" s="340">
        <f t="shared" si="16"/>
        <v>22</v>
      </c>
      <c r="B127" s="341" t="s">
        <v>51</v>
      </c>
      <c r="C127" s="340">
        <v>25</v>
      </c>
      <c r="D127" s="340" t="s">
        <v>41</v>
      </c>
      <c r="E127" s="342">
        <f t="shared" si="14"/>
        <v>39.4484</v>
      </c>
      <c r="F127" s="342">
        <f t="shared" si="15"/>
        <v>39.223800000000004</v>
      </c>
      <c r="G127" s="342"/>
      <c r="H127" s="344">
        <v>0.015</v>
      </c>
      <c r="I127" s="342">
        <f>H127*326</f>
        <v>4.89</v>
      </c>
      <c r="J127" s="343">
        <v>0.0153</v>
      </c>
      <c r="K127" s="342">
        <f t="shared" si="20"/>
        <v>4.9878</v>
      </c>
      <c r="L127" s="343">
        <f>0.052+0.038</f>
        <v>0.09</v>
      </c>
      <c r="M127" s="344">
        <f>L127*360</f>
        <v>32.4</v>
      </c>
      <c r="N127" s="343">
        <f>0.0609+0.0342</f>
        <v>0.0951</v>
      </c>
      <c r="O127" s="344">
        <f>N127*360</f>
        <v>34.236000000000004</v>
      </c>
      <c r="P127" s="344"/>
      <c r="Q127" s="344"/>
      <c r="R127" s="344"/>
      <c r="S127" s="344"/>
      <c r="T127" s="344"/>
      <c r="U127" s="343"/>
      <c r="V127" s="342"/>
      <c r="W127" s="343"/>
      <c r="X127" s="342"/>
      <c r="Y127" s="345"/>
      <c r="Z127" s="340"/>
      <c r="AA127" s="340"/>
      <c r="AB127" s="345"/>
      <c r="AC127" s="340"/>
      <c r="AD127" s="340"/>
      <c r="AE127" s="345"/>
      <c r="AF127" s="340"/>
      <c r="AG127" s="340"/>
      <c r="AH127" s="345"/>
      <c r="AI127" s="340">
        <v>38</v>
      </c>
      <c r="AJ127" s="342">
        <f>AI127*0.0568</f>
        <v>2.1584000000000003</v>
      </c>
      <c r="AK127" s="345"/>
      <c r="AL127" s="342"/>
      <c r="AM127" s="340"/>
      <c r="AN127" s="344"/>
      <c r="AO127" s="342"/>
      <c r="AP127" s="342"/>
      <c r="AQ127" s="342"/>
      <c r="AR127" s="250"/>
      <c r="AS127" s="342"/>
      <c r="AT127" s="250"/>
      <c r="AU127" s="342"/>
      <c r="AV127" s="344"/>
      <c r="AW127" s="342"/>
      <c r="AX127" s="344"/>
      <c r="AY127" s="342"/>
      <c r="AZ127" s="344"/>
      <c r="BA127" s="346"/>
      <c r="BB127" s="346"/>
      <c r="BC127" s="346"/>
      <c r="BD127" s="346"/>
      <c r="BE127" s="345"/>
      <c r="BF127" s="345"/>
      <c r="BG127" s="345">
        <v>1</v>
      </c>
      <c r="BH127" s="345">
        <v>1</v>
      </c>
      <c r="BI127" s="345"/>
      <c r="BJ127" s="345"/>
      <c r="BK127" s="340"/>
      <c r="BL127" s="345"/>
      <c r="BM127" s="345">
        <v>1</v>
      </c>
      <c r="BN127" s="347"/>
    </row>
    <row r="128" spans="1:66" ht="12">
      <c r="A128" s="349">
        <f>A127</f>
        <v>22</v>
      </c>
      <c r="B128" s="350" t="s">
        <v>179</v>
      </c>
      <c r="C128" s="365"/>
      <c r="D128" s="365"/>
      <c r="E128" s="352">
        <f>SUM(E102:E127)</f>
        <v>1471.4623000000004</v>
      </c>
      <c r="F128" s="352">
        <f>SUM(F102:F127)</f>
        <v>1372.5973416666668</v>
      </c>
      <c r="G128" s="352">
        <f>SUM(G102:G127)</f>
        <v>0</v>
      </c>
      <c r="H128" s="354">
        <f>SUM(H102:H127)</f>
        <v>0.42900000000000005</v>
      </c>
      <c r="I128" s="352">
        <f>SUM(I102:I127)</f>
        <v>216.36599999999999</v>
      </c>
      <c r="J128" s="353">
        <f>SUM(J102:J127)</f>
        <v>0.2183</v>
      </c>
      <c r="K128" s="352">
        <f>SUM(K102:K127)</f>
        <v>92.50380000000001</v>
      </c>
      <c r="L128" s="353">
        <f>SUM(L102:L127)</f>
        <v>1.516</v>
      </c>
      <c r="M128" s="352">
        <f>SUM(M102:M127)</f>
        <v>545.76</v>
      </c>
      <c r="N128" s="353">
        <f>SUM(N102:N127)</f>
        <v>2.4131999999999993</v>
      </c>
      <c r="O128" s="352">
        <f>SUM(O102:O127)</f>
        <v>868.7520000000001</v>
      </c>
      <c r="P128" s="354">
        <f>SUM(P102:P127)</f>
        <v>0</v>
      </c>
      <c r="Q128" s="354">
        <f>SUM(Q102:Q127)</f>
        <v>0</v>
      </c>
      <c r="R128" s="352">
        <f>SUM(R102:R127)</f>
        <v>0</v>
      </c>
      <c r="S128" s="352">
        <f>SUM(S102:S127)</f>
        <v>0</v>
      </c>
      <c r="T128" s="352">
        <f>SUM(T102:T127)</f>
        <v>0</v>
      </c>
      <c r="U128" s="353">
        <f>SUM(U102:U127)</f>
        <v>0.04950000000000001</v>
      </c>
      <c r="V128" s="354">
        <f>SUM(V102:V127)</f>
        <v>37.15449999999999</v>
      </c>
      <c r="W128" s="353">
        <f>SUM(W102:W127)</f>
        <v>0.0378</v>
      </c>
      <c r="X128" s="352">
        <f>SUM(X102:X127)</f>
        <v>17.8403</v>
      </c>
      <c r="Y128" s="349">
        <f>SUM(Y102:Y127)</f>
        <v>0</v>
      </c>
      <c r="Z128" s="352">
        <f>SUM(Z102:Z127)</f>
        <v>0</v>
      </c>
      <c r="AA128" s="349">
        <f>SUM(AA102:AA127)</f>
        <v>0</v>
      </c>
      <c r="AB128" s="349">
        <f>SUM(AB102:AB127)</f>
        <v>0</v>
      </c>
      <c r="AC128" s="349">
        <f>SUM(AC102:AC127)</f>
        <v>4</v>
      </c>
      <c r="AD128" s="354">
        <f>SUM(AD102:AD127)</f>
        <v>16.8</v>
      </c>
      <c r="AE128" s="349">
        <f>SUM(AE102:AE127)</f>
        <v>4</v>
      </c>
      <c r="AF128" s="352">
        <f>SUM(AF102:AF127)</f>
        <v>16.8</v>
      </c>
      <c r="AG128" s="349"/>
      <c r="AH128" s="349">
        <f>SUM(AH102:AH127)</f>
        <v>0</v>
      </c>
      <c r="AI128" s="349">
        <f>SUM(AI102:AI127)</f>
        <v>2651</v>
      </c>
      <c r="AJ128" s="342">
        <f>SUM(AJ102:AJ127)</f>
        <v>150.57680000000002</v>
      </c>
      <c r="AK128" s="349">
        <f>SUM(AK102:AK127)</f>
        <v>0</v>
      </c>
      <c r="AL128" s="352">
        <f>SUM(AL102:AL127)</f>
        <v>0</v>
      </c>
      <c r="AM128" s="352">
        <f>SUM(AM102:AM127)</f>
        <v>0</v>
      </c>
      <c r="AN128" s="354">
        <f>SUM(AN102:AN127)</f>
        <v>0</v>
      </c>
      <c r="AO128" s="342">
        <f>SUM(AO102:AO127)</f>
        <v>50.873000000000005</v>
      </c>
      <c r="AP128" s="354">
        <f>SUM(AP102:AP127)</f>
        <v>0</v>
      </c>
      <c r="AQ128" s="352">
        <f>SUM(AQ102:AQ127)</f>
        <v>50.873000000000005</v>
      </c>
      <c r="AR128" s="354">
        <f>SUM(AR102:AR127)</f>
        <v>0.12</v>
      </c>
      <c r="AS128" s="342">
        <f>SUM(AS102:AS127)</f>
        <v>285.397</v>
      </c>
      <c r="AT128" s="352">
        <f>SUM(AT102:AT127)</f>
        <v>0.137</v>
      </c>
      <c r="AU128" s="352">
        <f>SUM(AU102:AU127)</f>
        <v>325.8282416666667</v>
      </c>
      <c r="AV128" s="354">
        <f>SUM(AV102:AV127)</f>
        <v>0</v>
      </c>
      <c r="AW128" s="342">
        <f>SUM(AW102:AW127)</f>
        <v>0</v>
      </c>
      <c r="AX128" s="352">
        <f>SUM(AX102:AX127)</f>
        <v>0</v>
      </c>
      <c r="AY128" s="352">
        <f>SUM(AY102:AY127)</f>
        <v>0</v>
      </c>
      <c r="AZ128" s="354">
        <f>SUM(AZ102:AZ127)</f>
        <v>0.25</v>
      </c>
      <c r="BA128" s="354">
        <f>SUM(BA102:BA127)</f>
        <v>168.535</v>
      </c>
      <c r="BB128" s="352">
        <f>SUM(BB102:BB127)</f>
        <v>0</v>
      </c>
      <c r="BC128" s="352">
        <f>SUM(BC102:BC127)</f>
        <v>0</v>
      </c>
      <c r="BD128" s="352">
        <f>SUM(BD102:BD127)</f>
        <v>0</v>
      </c>
      <c r="BE128" s="349">
        <f>SUM(BE102:BE127)</f>
        <v>2</v>
      </c>
      <c r="BF128" s="349">
        <f>SUM(BF102:BF127)</f>
        <v>2</v>
      </c>
      <c r="BG128" s="349">
        <f>SUM(BG102:BG127)</f>
        <v>99</v>
      </c>
      <c r="BH128" s="349">
        <f>SUM(BH102:BH127)</f>
        <v>99</v>
      </c>
      <c r="BI128" s="349">
        <f>SUM(BI102:BI127)</f>
        <v>0</v>
      </c>
      <c r="BJ128" s="349">
        <f>SUM(BJ102:BJ127)</f>
        <v>0</v>
      </c>
      <c r="BK128" s="349">
        <f>SUM(BK102:BK127)</f>
        <v>0</v>
      </c>
      <c r="BL128" s="349">
        <f>SUM(BL102:BL127)</f>
        <v>1</v>
      </c>
      <c r="BM128" s="349">
        <f>SUM(BM102:BM127)</f>
        <v>22</v>
      </c>
      <c r="BN128" s="349">
        <f>SUM(BN102:BN127)</f>
        <v>9</v>
      </c>
    </row>
    <row r="129" spans="1:66" ht="24">
      <c r="A129" s="340">
        <v>1</v>
      </c>
      <c r="B129" s="341" t="s">
        <v>44</v>
      </c>
      <c r="C129" s="340">
        <v>93</v>
      </c>
      <c r="D129" s="340" t="s">
        <v>41</v>
      </c>
      <c r="E129" s="342">
        <f aca="true" t="shared" si="21" ref="E129:E197">I129+M129+Q129+V129+Z129+AD129+AJ129+AO129+AS129+AW129+BA129</f>
        <v>21.983999999999998</v>
      </c>
      <c r="F129" s="342">
        <f aca="true" t="shared" si="22" ref="F129:F197">K129+O129+S129+X129+AF129+AL129+AQ129+AU129+AY129+BC129</f>
        <v>22.704</v>
      </c>
      <c r="G129" s="342"/>
      <c r="H129" s="344"/>
      <c r="I129" s="342"/>
      <c r="J129" s="344"/>
      <c r="K129" s="344"/>
      <c r="L129" s="344">
        <v>0.018</v>
      </c>
      <c r="M129" s="344">
        <f>L129*360</f>
        <v>6.4799999999999995</v>
      </c>
      <c r="N129" s="343">
        <v>0.02</v>
      </c>
      <c r="O129" s="342">
        <f>N129*360</f>
        <v>7.2</v>
      </c>
      <c r="P129" s="344"/>
      <c r="Q129" s="344"/>
      <c r="R129" s="344"/>
      <c r="S129" s="344"/>
      <c r="T129" s="344"/>
      <c r="U129" s="343"/>
      <c r="V129" s="342"/>
      <c r="W129" s="342"/>
      <c r="X129" s="342"/>
      <c r="Y129" s="345"/>
      <c r="Z129" s="340"/>
      <c r="AA129" s="340"/>
      <c r="AB129" s="345"/>
      <c r="AC129" s="340"/>
      <c r="AD129" s="340"/>
      <c r="AE129" s="345"/>
      <c r="AF129" s="340"/>
      <c r="AG129" s="340">
        <v>16</v>
      </c>
      <c r="AH129" s="345">
        <v>3</v>
      </c>
      <c r="AI129" s="340"/>
      <c r="AJ129" s="342"/>
      <c r="AK129" s="345"/>
      <c r="AL129" s="342"/>
      <c r="AM129" s="340"/>
      <c r="AN129" s="250" t="s">
        <v>52</v>
      </c>
      <c r="AO129" s="342">
        <f>7.752*2</f>
        <v>15.504</v>
      </c>
      <c r="AP129" s="250" t="s">
        <v>180</v>
      </c>
      <c r="AQ129" s="342">
        <f>AO129</f>
        <v>15.504</v>
      </c>
      <c r="AR129" s="344"/>
      <c r="AS129" s="342"/>
      <c r="AT129" s="342"/>
      <c r="AU129" s="342"/>
      <c r="AV129" s="344"/>
      <c r="AW129" s="342"/>
      <c r="AX129" s="342"/>
      <c r="AY129" s="342"/>
      <c r="AZ129" s="344"/>
      <c r="BA129" s="346"/>
      <c r="BB129" s="346"/>
      <c r="BC129" s="346"/>
      <c r="BD129" s="370"/>
      <c r="BE129" s="345">
        <v>1</v>
      </c>
      <c r="BF129" s="345">
        <v>1</v>
      </c>
      <c r="BG129" s="345">
        <v>1</v>
      </c>
      <c r="BH129" s="345">
        <v>1</v>
      </c>
      <c r="BI129" s="345"/>
      <c r="BJ129" s="345"/>
      <c r="BK129" s="340"/>
      <c r="BL129" s="340">
        <v>1</v>
      </c>
      <c r="BM129" s="345">
        <v>1</v>
      </c>
      <c r="BN129" s="347">
        <v>1</v>
      </c>
    </row>
    <row r="130" spans="1:66" ht="12">
      <c r="A130" s="340">
        <f aca="true" t="shared" si="23" ref="A130:A197">A129+1</f>
        <v>2</v>
      </c>
      <c r="B130" s="341" t="s">
        <v>44</v>
      </c>
      <c r="C130" s="340">
        <v>98</v>
      </c>
      <c r="D130" s="340"/>
      <c r="E130" s="342">
        <f t="shared" si="21"/>
        <v>0</v>
      </c>
      <c r="F130" s="342">
        <f t="shared" si="22"/>
        <v>0</v>
      </c>
      <c r="G130" s="342"/>
      <c r="H130" s="344"/>
      <c r="I130" s="342"/>
      <c r="J130" s="344"/>
      <c r="K130" s="344"/>
      <c r="L130" s="344"/>
      <c r="M130" s="342"/>
      <c r="N130" s="343"/>
      <c r="O130" s="342"/>
      <c r="P130" s="344"/>
      <c r="Q130" s="344"/>
      <c r="R130" s="344"/>
      <c r="S130" s="344"/>
      <c r="T130" s="344"/>
      <c r="U130" s="343"/>
      <c r="V130" s="342"/>
      <c r="W130" s="342"/>
      <c r="X130" s="342"/>
      <c r="Y130" s="345"/>
      <c r="Z130" s="340"/>
      <c r="AA130" s="340"/>
      <c r="AB130" s="345"/>
      <c r="AC130" s="340"/>
      <c r="AD130" s="340"/>
      <c r="AE130" s="345"/>
      <c r="AF130" s="340"/>
      <c r="AG130" s="340">
        <v>6</v>
      </c>
      <c r="AH130" s="345">
        <v>6</v>
      </c>
      <c r="AI130" s="340"/>
      <c r="AJ130" s="342"/>
      <c r="AK130" s="345"/>
      <c r="AL130" s="342"/>
      <c r="AM130" s="340"/>
      <c r="AN130" s="250"/>
      <c r="AO130" s="342"/>
      <c r="AP130" s="342"/>
      <c r="AQ130" s="342"/>
      <c r="AR130" s="344"/>
      <c r="AS130" s="342"/>
      <c r="AT130" s="342"/>
      <c r="AU130" s="342"/>
      <c r="AV130" s="344"/>
      <c r="AW130" s="342"/>
      <c r="AX130" s="342"/>
      <c r="AY130" s="342"/>
      <c r="AZ130" s="344"/>
      <c r="BA130" s="346"/>
      <c r="BB130" s="346"/>
      <c r="BC130" s="346"/>
      <c r="BD130" s="370"/>
      <c r="BE130" s="345"/>
      <c r="BF130" s="345"/>
      <c r="BG130" s="345">
        <v>1</v>
      </c>
      <c r="BH130" s="345">
        <v>1</v>
      </c>
      <c r="BI130" s="345"/>
      <c r="BJ130" s="345"/>
      <c r="BK130" s="340"/>
      <c r="BL130" s="340">
        <v>1</v>
      </c>
      <c r="BM130" s="345">
        <v>1</v>
      </c>
      <c r="BN130" s="347">
        <v>1</v>
      </c>
    </row>
    <row r="131" spans="1:66" ht="12">
      <c r="A131" s="340">
        <f t="shared" si="23"/>
        <v>3</v>
      </c>
      <c r="B131" s="341" t="s">
        <v>44</v>
      </c>
      <c r="C131" s="340">
        <v>100</v>
      </c>
      <c r="D131" s="340"/>
      <c r="E131" s="342">
        <f t="shared" si="21"/>
        <v>0</v>
      </c>
      <c r="F131" s="342">
        <f t="shared" si="22"/>
        <v>0</v>
      </c>
      <c r="G131" s="342"/>
      <c r="H131" s="344"/>
      <c r="I131" s="342"/>
      <c r="J131" s="344"/>
      <c r="K131" s="344"/>
      <c r="L131" s="344"/>
      <c r="M131" s="342"/>
      <c r="N131" s="343"/>
      <c r="O131" s="342"/>
      <c r="P131" s="344"/>
      <c r="Q131" s="344"/>
      <c r="R131" s="344"/>
      <c r="S131" s="344"/>
      <c r="T131" s="344"/>
      <c r="U131" s="343"/>
      <c r="V131" s="342"/>
      <c r="W131" s="342"/>
      <c r="X131" s="342"/>
      <c r="Y131" s="345"/>
      <c r="Z131" s="340"/>
      <c r="AA131" s="340"/>
      <c r="AB131" s="345"/>
      <c r="AC131" s="340"/>
      <c r="AD131" s="340"/>
      <c r="AE131" s="345"/>
      <c r="AF131" s="340"/>
      <c r="AG131" s="340">
        <v>8</v>
      </c>
      <c r="AH131" s="345">
        <v>8</v>
      </c>
      <c r="AI131" s="340"/>
      <c r="AJ131" s="342"/>
      <c r="AK131" s="345"/>
      <c r="AL131" s="342"/>
      <c r="AM131" s="340"/>
      <c r="AN131" s="250"/>
      <c r="AO131" s="342"/>
      <c r="AP131" s="342"/>
      <c r="AQ131" s="342"/>
      <c r="AR131" s="344"/>
      <c r="AS131" s="342"/>
      <c r="AT131" s="342"/>
      <c r="AU131" s="342"/>
      <c r="AV131" s="344"/>
      <c r="AW131" s="342"/>
      <c r="AX131" s="342"/>
      <c r="AY131" s="342"/>
      <c r="AZ131" s="344"/>
      <c r="BA131" s="346"/>
      <c r="BB131" s="346"/>
      <c r="BC131" s="346"/>
      <c r="BD131" s="370"/>
      <c r="BE131" s="345"/>
      <c r="BF131" s="345"/>
      <c r="BG131" s="345">
        <v>1</v>
      </c>
      <c r="BH131" s="345">
        <v>1</v>
      </c>
      <c r="BI131" s="345"/>
      <c r="BJ131" s="345"/>
      <c r="BK131" s="340"/>
      <c r="BL131" s="340">
        <v>1</v>
      </c>
      <c r="BM131" s="345">
        <v>1</v>
      </c>
      <c r="BN131" s="347">
        <v>1</v>
      </c>
    </row>
    <row r="132" spans="1:66" ht="12">
      <c r="A132" s="340">
        <f t="shared" si="23"/>
        <v>4</v>
      </c>
      <c r="B132" s="341" t="s">
        <v>44</v>
      </c>
      <c r="C132" s="340">
        <v>104</v>
      </c>
      <c r="D132" s="340"/>
      <c r="E132" s="342">
        <f t="shared" si="21"/>
        <v>0</v>
      </c>
      <c r="F132" s="342">
        <f t="shared" si="22"/>
        <v>0</v>
      </c>
      <c r="G132" s="342"/>
      <c r="H132" s="344"/>
      <c r="I132" s="342"/>
      <c r="J132" s="344"/>
      <c r="K132" s="344"/>
      <c r="L132" s="344"/>
      <c r="M132" s="342"/>
      <c r="N132" s="343"/>
      <c r="O132" s="344"/>
      <c r="P132" s="344"/>
      <c r="Q132" s="344"/>
      <c r="R132" s="344"/>
      <c r="S132" s="344"/>
      <c r="T132" s="344"/>
      <c r="U132" s="343"/>
      <c r="V132" s="342"/>
      <c r="W132" s="342"/>
      <c r="X132" s="342"/>
      <c r="Y132" s="345"/>
      <c r="Z132" s="340"/>
      <c r="AA132" s="340"/>
      <c r="AB132" s="345"/>
      <c r="AC132" s="340"/>
      <c r="AD132" s="340"/>
      <c r="AE132" s="345"/>
      <c r="AF132" s="340"/>
      <c r="AG132" s="340"/>
      <c r="AH132" s="345"/>
      <c r="AI132" s="340"/>
      <c r="AJ132" s="342"/>
      <c r="AK132" s="345"/>
      <c r="AL132" s="342"/>
      <c r="AM132" s="340"/>
      <c r="AN132" s="250"/>
      <c r="AO132" s="342"/>
      <c r="AP132" s="344"/>
      <c r="AQ132" s="342"/>
      <c r="AR132" s="344"/>
      <c r="AS132" s="342"/>
      <c r="AT132" s="342"/>
      <c r="AU132" s="342"/>
      <c r="AV132" s="344"/>
      <c r="AW132" s="342"/>
      <c r="AX132" s="342"/>
      <c r="AY132" s="342"/>
      <c r="AZ132" s="344"/>
      <c r="BA132" s="346"/>
      <c r="BB132" s="346"/>
      <c r="BC132" s="346"/>
      <c r="BD132" s="346"/>
      <c r="BE132" s="345"/>
      <c r="BF132" s="345"/>
      <c r="BG132" s="345">
        <v>4</v>
      </c>
      <c r="BH132" s="345">
        <v>4</v>
      </c>
      <c r="BI132" s="345"/>
      <c r="BJ132" s="345"/>
      <c r="BK132" s="340"/>
      <c r="BL132" s="340">
        <v>1</v>
      </c>
      <c r="BM132" s="345">
        <v>1</v>
      </c>
      <c r="BN132" s="347">
        <v>1</v>
      </c>
    </row>
    <row r="133" spans="1:66" ht="27.75" customHeight="1">
      <c r="A133" s="340">
        <f t="shared" si="23"/>
        <v>5</v>
      </c>
      <c r="B133" s="341" t="s">
        <v>44</v>
      </c>
      <c r="C133" s="340">
        <v>108</v>
      </c>
      <c r="D133" s="340" t="s">
        <v>41</v>
      </c>
      <c r="E133" s="342">
        <f t="shared" si="21"/>
        <v>0</v>
      </c>
      <c r="F133" s="342">
        <f t="shared" si="22"/>
        <v>0</v>
      </c>
      <c r="G133" s="342"/>
      <c r="H133" s="344"/>
      <c r="I133" s="342"/>
      <c r="J133" s="344"/>
      <c r="K133" s="344"/>
      <c r="L133" s="344"/>
      <c r="M133" s="342"/>
      <c r="N133" s="343"/>
      <c r="O133" s="344"/>
      <c r="P133" s="344"/>
      <c r="Q133" s="344"/>
      <c r="R133" s="344"/>
      <c r="S133" s="344"/>
      <c r="T133" s="344"/>
      <c r="U133" s="343"/>
      <c r="V133" s="342"/>
      <c r="W133" s="342"/>
      <c r="X133" s="342"/>
      <c r="Y133" s="345"/>
      <c r="Z133" s="340"/>
      <c r="AA133" s="340"/>
      <c r="AB133" s="345"/>
      <c r="AC133" s="340"/>
      <c r="AD133" s="340"/>
      <c r="AE133" s="345"/>
      <c r="AF133" s="340"/>
      <c r="AG133" s="340">
        <v>10</v>
      </c>
      <c r="AH133" s="345">
        <v>10</v>
      </c>
      <c r="AI133" s="340"/>
      <c r="AJ133" s="342"/>
      <c r="AK133" s="345"/>
      <c r="AL133" s="342"/>
      <c r="AM133" s="340"/>
      <c r="AN133" s="250"/>
      <c r="AO133" s="342"/>
      <c r="AP133" s="342"/>
      <c r="AQ133" s="342"/>
      <c r="AR133" s="344"/>
      <c r="AS133" s="342"/>
      <c r="AT133" s="342"/>
      <c r="AU133" s="342"/>
      <c r="AV133" s="344"/>
      <c r="AW133" s="342"/>
      <c r="AX133" s="342"/>
      <c r="AY133" s="342"/>
      <c r="AZ133" s="344"/>
      <c r="BA133" s="346"/>
      <c r="BB133" s="346"/>
      <c r="BC133" s="346"/>
      <c r="BD133" s="370"/>
      <c r="BE133" s="345"/>
      <c r="BF133" s="345"/>
      <c r="BG133" s="345">
        <v>1</v>
      </c>
      <c r="BH133" s="345">
        <v>1</v>
      </c>
      <c r="BI133" s="345"/>
      <c r="BJ133" s="345"/>
      <c r="BK133" s="340"/>
      <c r="BL133" s="340">
        <v>1</v>
      </c>
      <c r="BM133" s="345">
        <v>1</v>
      </c>
      <c r="BN133" s="347">
        <v>1</v>
      </c>
    </row>
    <row r="134" spans="1:66" ht="12">
      <c r="A134" s="340">
        <f t="shared" si="23"/>
        <v>6</v>
      </c>
      <c r="B134" s="341" t="s">
        <v>44</v>
      </c>
      <c r="C134" s="340">
        <v>108</v>
      </c>
      <c r="D134" s="340"/>
      <c r="E134" s="342">
        <f t="shared" si="21"/>
        <v>0</v>
      </c>
      <c r="F134" s="342">
        <f t="shared" si="22"/>
        <v>0</v>
      </c>
      <c r="G134" s="342"/>
      <c r="H134" s="344"/>
      <c r="I134" s="342"/>
      <c r="J134" s="344"/>
      <c r="K134" s="344"/>
      <c r="L134" s="344"/>
      <c r="M134" s="342"/>
      <c r="N134" s="343"/>
      <c r="O134" s="342"/>
      <c r="P134" s="344"/>
      <c r="Q134" s="344"/>
      <c r="R134" s="344"/>
      <c r="S134" s="344"/>
      <c r="T134" s="344"/>
      <c r="U134" s="343"/>
      <c r="V134" s="342"/>
      <c r="W134" s="342"/>
      <c r="X134" s="342"/>
      <c r="Y134" s="345"/>
      <c r="Z134" s="340"/>
      <c r="AA134" s="340"/>
      <c r="AB134" s="345"/>
      <c r="AC134" s="340"/>
      <c r="AD134" s="340"/>
      <c r="AE134" s="345"/>
      <c r="AF134" s="340"/>
      <c r="AG134" s="340">
        <v>11</v>
      </c>
      <c r="AH134" s="345">
        <v>11</v>
      </c>
      <c r="AI134" s="340"/>
      <c r="AJ134" s="342"/>
      <c r="AK134" s="345"/>
      <c r="AL134" s="342"/>
      <c r="AM134" s="340"/>
      <c r="AN134" s="250"/>
      <c r="AO134" s="342"/>
      <c r="AP134" s="344"/>
      <c r="AQ134" s="342"/>
      <c r="AR134" s="344"/>
      <c r="AS134" s="342"/>
      <c r="AT134" s="342"/>
      <c r="AU134" s="342"/>
      <c r="AV134" s="344"/>
      <c r="AW134" s="342"/>
      <c r="AX134" s="342"/>
      <c r="AY134" s="342"/>
      <c r="AZ134" s="344"/>
      <c r="BA134" s="346"/>
      <c r="BB134" s="346"/>
      <c r="BC134" s="346"/>
      <c r="BD134" s="370"/>
      <c r="BE134" s="345"/>
      <c r="BF134" s="345"/>
      <c r="BG134" s="345">
        <v>1</v>
      </c>
      <c r="BH134" s="345">
        <v>1</v>
      </c>
      <c r="BI134" s="345"/>
      <c r="BJ134" s="345"/>
      <c r="BK134" s="340"/>
      <c r="BL134" s="340">
        <v>1</v>
      </c>
      <c r="BM134" s="345">
        <v>1</v>
      </c>
      <c r="BN134" s="347">
        <v>1</v>
      </c>
    </row>
    <row r="135" spans="1:66" ht="12">
      <c r="A135" s="340">
        <f t="shared" si="23"/>
        <v>7</v>
      </c>
      <c r="B135" s="341" t="s">
        <v>44</v>
      </c>
      <c r="C135" s="340">
        <v>112</v>
      </c>
      <c r="D135" s="340"/>
      <c r="E135" s="342">
        <f t="shared" si="21"/>
        <v>0</v>
      </c>
      <c r="F135" s="342">
        <f t="shared" si="22"/>
        <v>0</v>
      </c>
      <c r="G135" s="342"/>
      <c r="H135" s="344"/>
      <c r="I135" s="342"/>
      <c r="J135" s="344"/>
      <c r="K135" s="344"/>
      <c r="L135" s="344"/>
      <c r="M135" s="342"/>
      <c r="N135" s="343"/>
      <c r="O135" s="342"/>
      <c r="P135" s="344"/>
      <c r="Q135" s="344"/>
      <c r="R135" s="344"/>
      <c r="S135" s="344"/>
      <c r="T135" s="344"/>
      <c r="U135" s="343"/>
      <c r="V135" s="342"/>
      <c r="W135" s="342"/>
      <c r="X135" s="342"/>
      <c r="Y135" s="345"/>
      <c r="Z135" s="340"/>
      <c r="AA135" s="340"/>
      <c r="AB135" s="345"/>
      <c r="AC135" s="340"/>
      <c r="AD135" s="340"/>
      <c r="AE135" s="345"/>
      <c r="AF135" s="340"/>
      <c r="AG135" s="340">
        <v>3</v>
      </c>
      <c r="AH135" s="345">
        <v>3</v>
      </c>
      <c r="AI135" s="340"/>
      <c r="AJ135" s="342"/>
      <c r="AK135" s="345"/>
      <c r="AL135" s="342"/>
      <c r="AM135" s="340"/>
      <c r="AN135" s="250"/>
      <c r="AO135" s="342"/>
      <c r="AP135" s="342"/>
      <c r="AQ135" s="342"/>
      <c r="AR135" s="344"/>
      <c r="AS135" s="342"/>
      <c r="AT135" s="342"/>
      <c r="AU135" s="342"/>
      <c r="AV135" s="344"/>
      <c r="AW135" s="342"/>
      <c r="AX135" s="342"/>
      <c r="AY135" s="342"/>
      <c r="AZ135" s="344"/>
      <c r="BA135" s="346"/>
      <c r="BB135" s="346"/>
      <c r="BC135" s="346"/>
      <c r="BD135" s="346"/>
      <c r="BE135" s="345"/>
      <c r="BF135" s="345"/>
      <c r="BG135" s="345">
        <v>4</v>
      </c>
      <c r="BH135" s="345">
        <v>4</v>
      </c>
      <c r="BI135" s="345"/>
      <c r="BJ135" s="345"/>
      <c r="BK135" s="340"/>
      <c r="BL135" s="340">
        <v>1</v>
      </c>
      <c r="BM135" s="345">
        <v>1</v>
      </c>
      <c r="BN135" s="347">
        <v>1</v>
      </c>
    </row>
    <row r="136" spans="1:66" ht="12">
      <c r="A136" s="340">
        <f t="shared" si="23"/>
        <v>8</v>
      </c>
      <c r="B136" s="341" t="s">
        <v>44</v>
      </c>
      <c r="C136" s="340">
        <v>116</v>
      </c>
      <c r="D136" s="340"/>
      <c r="E136" s="342">
        <f t="shared" si="21"/>
        <v>0</v>
      </c>
      <c r="F136" s="342">
        <f t="shared" si="22"/>
        <v>0</v>
      </c>
      <c r="G136" s="342"/>
      <c r="H136" s="344"/>
      <c r="I136" s="342"/>
      <c r="J136" s="344"/>
      <c r="K136" s="344"/>
      <c r="L136" s="344"/>
      <c r="M136" s="342"/>
      <c r="N136" s="343"/>
      <c r="O136" s="342"/>
      <c r="P136" s="344"/>
      <c r="Q136" s="344"/>
      <c r="R136" s="344"/>
      <c r="S136" s="344"/>
      <c r="T136" s="344"/>
      <c r="U136" s="343"/>
      <c r="V136" s="342"/>
      <c r="W136" s="342"/>
      <c r="X136" s="342"/>
      <c r="Y136" s="345"/>
      <c r="Z136" s="340"/>
      <c r="AA136" s="340"/>
      <c r="AB136" s="345"/>
      <c r="AC136" s="340"/>
      <c r="AD136" s="340"/>
      <c r="AE136" s="345"/>
      <c r="AF136" s="340"/>
      <c r="AG136" s="340">
        <v>12</v>
      </c>
      <c r="AH136" s="345">
        <v>12</v>
      </c>
      <c r="AI136" s="340"/>
      <c r="AJ136" s="342"/>
      <c r="AK136" s="345"/>
      <c r="AL136" s="342"/>
      <c r="AM136" s="340"/>
      <c r="AN136" s="250"/>
      <c r="AO136" s="342"/>
      <c r="AP136" s="344"/>
      <c r="AQ136" s="342"/>
      <c r="AR136" s="344"/>
      <c r="AS136" s="342"/>
      <c r="AT136" s="342"/>
      <c r="AU136" s="342"/>
      <c r="AV136" s="344"/>
      <c r="AW136" s="342"/>
      <c r="AX136" s="342"/>
      <c r="AY136" s="342"/>
      <c r="AZ136" s="344"/>
      <c r="BA136" s="346"/>
      <c r="BB136" s="346"/>
      <c r="BC136" s="346"/>
      <c r="BD136" s="346"/>
      <c r="BE136" s="345"/>
      <c r="BF136" s="345"/>
      <c r="BG136" s="345">
        <v>1</v>
      </c>
      <c r="BH136" s="345">
        <v>1</v>
      </c>
      <c r="BI136" s="345"/>
      <c r="BJ136" s="345"/>
      <c r="BK136" s="340"/>
      <c r="BL136" s="340">
        <v>1</v>
      </c>
      <c r="BM136" s="345">
        <v>1</v>
      </c>
      <c r="BN136" s="347">
        <v>1</v>
      </c>
    </row>
    <row r="137" spans="1:66" ht="12">
      <c r="A137" s="340">
        <f t="shared" si="23"/>
        <v>9</v>
      </c>
      <c r="B137" s="341" t="s">
        <v>44</v>
      </c>
      <c r="C137" s="340">
        <v>118</v>
      </c>
      <c r="D137" s="340"/>
      <c r="E137" s="342">
        <f t="shared" si="21"/>
        <v>0</v>
      </c>
      <c r="F137" s="342">
        <f t="shared" si="22"/>
        <v>0</v>
      </c>
      <c r="G137" s="342"/>
      <c r="H137" s="344"/>
      <c r="I137" s="342"/>
      <c r="J137" s="344"/>
      <c r="K137" s="344"/>
      <c r="L137" s="344"/>
      <c r="M137" s="342"/>
      <c r="N137" s="343"/>
      <c r="O137" s="342"/>
      <c r="P137" s="344"/>
      <c r="Q137" s="344"/>
      <c r="R137" s="344"/>
      <c r="S137" s="344"/>
      <c r="T137" s="344"/>
      <c r="U137" s="343"/>
      <c r="V137" s="342"/>
      <c r="W137" s="342"/>
      <c r="X137" s="342"/>
      <c r="Y137" s="345"/>
      <c r="Z137" s="340"/>
      <c r="AA137" s="340"/>
      <c r="AB137" s="345"/>
      <c r="AC137" s="340"/>
      <c r="AD137" s="340"/>
      <c r="AE137" s="345"/>
      <c r="AF137" s="340"/>
      <c r="AG137" s="340">
        <v>10</v>
      </c>
      <c r="AH137" s="345">
        <v>10</v>
      </c>
      <c r="AI137" s="340"/>
      <c r="AJ137" s="342"/>
      <c r="AK137" s="345"/>
      <c r="AL137" s="342"/>
      <c r="AM137" s="340"/>
      <c r="AN137" s="250"/>
      <c r="AO137" s="342"/>
      <c r="AP137" s="342"/>
      <c r="AQ137" s="342"/>
      <c r="AR137" s="344"/>
      <c r="AS137" s="342"/>
      <c r="AT137" s="342"/>
      <c r="AU137" s="342"/>
      <c r="AV137" s="344"/>
      <c r="AW137" s="342"/>
      <c r="AX137" s="342"/>
      <c r="AY137" s="342"/>
      <c r="AZ137" s="344"/>
      <c r="BA137" s="346"/>
      <c r="BB137" s="346"/>
      <c r="BC137" s="346"/>
      <c r="BD137" s="346"/>
      <c r="BE137" s="345"/>
      <c r="BF137" s="345"/>
      <c r="BG137" s="345">
        <v>1</v>
      </c>
      <c r="BH137" s="345">
        <v>1</v>
      </c>
      <c r="BI137" s="345"/>
      <c r="BJ137" s="345"/>
      <c r="BK137" s="340"/>
      <c r="BL137" s="340">
        <v>1</v>
      </c>
      <c r="BM137" s="345">
        <v>1</v>
      </c>
      <c r="BN137" s="347">
        <v>1</v>
      </c>
    </row>
    <row r="138" spans="1:66" ht="12">
      <c r="A138" s="340">
        <f t="shared" si="23"/>
        <v>10</v>
      </c>
      <c r="B138" s="341" t="s">
        <v>44</v>
      </c>
      <c r="C138" s="340">
        <v>122</v>
      </c>
      <c r="D138" s="340"/>
      <c r="E138" s="342">
        <f t="shared" si="21"/>
        <v>0</v>
      </c>
      <c r="F138" s="342">
        <f t="shared" si="22"/>
        <v>0</v>
      </c>
      <c r="G138" s="342"/>
      <c r="H138" s="344"/>
      <c r="I138" s="342"/>
      <c r="J138" s="344"/>
      <c r="K138" s="342"/>
      <c r="L138" s="344"/>
      <c r="M138" s="342"/>
      <c r="N138" s="343"/>
      <c r="O138" s="342"/>
      <c r="P138" s="344"/>
      <c r="Q138" s="344"/>
      <c r="R138" s="344"/>
      <c r="S138" s="344"/>
      <c r="T138" s="344"/>
      <c r="U138" s="343"/>
      <c r="V138" s="342"/>
      <c r="W138" s="342"/>
      <c r="X138" s="342"/>
      <c r="Y138" s="345"/>
      <c r="Z138" s="340"/>
      <c r="AA138" s="340"/>
      <c r="AB138" s="345"/>
      <c r="AC138" s="340"/>
      <c r="AD138" s="340"/>
      <c r="AE138" s="345"/>
      <c r="AF138" s="340"/>
      <c r="AG138" s="340"/>
      <c r="AH138" s="345"/>
      <c r="AI138" s="340"/>
      <c r="AJ138" s="342"/>
      <c r="AK138" s="345"/>
      <c r="AL138" s="342"/>
      <c r="AM138" s="340"/>
      <c r="AN138" s="250"/>
      <c r="AO138" s="342"/>
      <c r="AP138" s="342"/>
      <c r="AQ138" s="342"/>
      <c r="AR138" s="344"/>
      <c r="AS138" s="342"/>
      <c r="AT138" s="342"/>
      <c r="AU138" s="342"/>
      <c r="AV138" s="344"/>
      <c r="AW138" s="342"/>
      <c r="AX138" s="342"/>
      <c r="AY138" s="342"/>
      <c r="AZ138" s="344"/>
      <c r="BA138" s="346"/>
      <c r="BB138" s="346"/>
      <c r="BC138" s="346"/>
      <c r="BD138" s="346"/>
      <c r="BE138" s="345"/>
      <c r="BF138" s="345"/>
      <c r="BG138" s="345">
        <v>4</v>
      </c>
      <c r="BH138" s="345">
        <v>4</v>
      </c>
      <c r="BI138" s="345"/>
      <c r="BJ138" s="345"/>
      <c r="BK138" s="340"/>
      <c r="BL138" s="340">
        <v>1</v>
      </c>
      <c r="BM138" s="345">
        <v>1</v>
      </c>
      <c r="BN138" s="347">
        <v>1</v>
      </c>
    </row>
    <row r="139" spans="1:66" ht="12">
      <c r="A139" s="340">
        <f t="shared" si="23"/>
        <v>11</v>
      </c>
      <c r="B139" s="341" t="s">
        <v>44</v>
      </c>
      <c r="C139" s="340">
        <v>124</v>
      </c>
      <c r="D139" s="340"/>
      <c r="E139" s="342">
        <f t="shared" si="21"/>
        <v>0</v>
      </c>
      <c r="F139" s="342">
        <f t="shared" si="22"/>
        <v>0</v>
      </c>
      <c r="G139" s="342"/>
      <c r="H139" s="344"/>
      <c r="I139" s="342"/>
      <c r="J139" s="344"/>
      <c r="K139" s="344"/>
      <c r="L139" s="344"/>
      <c r="M139" s="342"/>
      <c r="N139" s="343"/>
      <c r="O139" s="342"/>
      <c r="P139" s="344"/>
      <c r="Q139" s="344"/>
      <c r="R139" s="344"/>
      <c r="S139" s="344"/>
      <c r="T139" s="344"/>
      <c r="U139" s="343"/>
      <c r="V139" s="342"/>
      <c r="W139" s="342"/>
      <c r="X139" s="342"/>
      <c r="Y139" s="345"/>
      <c r="Z139" s="340"/>
      <c r="AA139" s="340"/>
      <c r="AB139" s="345"/>
      <c r="AC139" s="340"/>
      <c r="AD139" s="340"/>
      <c r="AE139" s="345"/>
      <c r="AF139" s="340"/>
      <c r="AG139" s="340">
        <v>8</v>
      </c>
      <c r="AH139" s="345">
        <v>2</v>
      </c>
      <c r="AI139" s="340"/>
      <c r="AJ139" s="342"/>
      <c r="AK139" s="345"/>
      <c r="AL139" s="342"/>
      <c r="AM139" s="340"/>
      <c r="AN139" s="250"/>
      <c r="AO139" s="342"/>
      <c r="AP139" s="342"/>
      <c r="AQ139" s="342"/>
      <c r="AR139" s="344"/>
      <c r="AS139" s="342"/>
      <c r="AT139" s="342"/>
      <c r="AU139" s="342"/>
      <c r="AV139" s="344"/>
      <c r="AW139" s="342"/>
      <c r="AX139" s="342"/>
      <c r="AY139" s="342"/>
      <c r="AZ139" s="344"/>
      <c r="BA139" s="346"/>
      <c r="BB139" s="346"/>
      <c r="BC139" s="346"/>
      <c r="BD139" s="346"/>
      <c r="BE139" s="345"/>
      <c r="BF139" s="345"/>
      <c r="BG139" s="345">
        <v>1</v>
      </c>
      <c r="BH139" s="345">
        <v>1</v>
      </c>
      <c r="BI139" s="345"/>
      <c r="BJ139" s="345"/>
      <c r="BK139" s="340"/>
      <c r="BL139" s="340">
        <v>1</v>
      </c>
      <c r="BM139" s="345">
        <v>1</v>
      </c>
      <c r="BN139" s="347">
        <v>1</v>
      </c>
    </row>
    <row r="140" spans="1:66" ht="12">
      <c r="A140" s="340">
        <f t="shared" si="23"/>
        <v>12</v>
      </c>
      <c r="B140" s="341" t="s">
        <v>44</v>
      </c>
      <c r="C140" s="340">
        <v>126</v>
      </c>
      <c r="D140" s="340"/>
      <c r="E140" s="342">
        <f t="shared" si="21"/>
        <v>0</v>
      </c>
      <c r="F140" s="342">
        <f t="shared" si="22"/>
        <v>6.35</v>
      </c>
      <c r="G140" s="342"/>
      <c r="H140" s="344"/>
      <c r="I140" s="342"/>
      <c r="J140" s="344"/>
      <c r="K140" s="344"/>
      <c r="L140" s="344"/>
      <c r="M140" s="342"/>
      <c r="N140" s="343"/>
      <c r="O140" s="342"/>
      <c r="P140" s="344"/>
      <c r="Q140" s="344"/>
      <c r="R140" s="344"/>
      <c r="S140" s="344"/>
      <c r="T140" s="344"/>
      <c r="U140" s="343"/>
      <c r="V140" s="342"/>
      <c r="W140" s="342"/>
      <c r="X140" s="342"/>
      <c r="Y140" s="345"/>
      <c r="Z140" s="340"/>
      <c r="AA140" s="340"/>
      <c r="AB140" s="345"/>
      <c r="AC140" s="340"/>
      <c r="AD140" s="340"/>
      <c r="AE140" s="345"/>
      <c r="AF140" s="340"/>
      <c r="AG140" s="340">
        <v>10</v>
      </c>
      <c r="AH140" s="345">
        <v>10</v>
      </c>
      <c r="AI140" s="340"/>
      <c r="AJ140" s="342"/>
      <c r="AK140" s="345"/>
      <c r="AL140" s="342"/>
      <c r="AM140" s="340"/>
      <c r="AN140" s="250"/>
      <c r="AO140" s="342"/>
      <c r="AP140" s="342"/>
      <c r="AQ140" s="342"/>
      <c r="AR140" s="344"/>
      <c r="AS140" s="342"/>
      <c r="AT140" s="342"/>
      <c r="AU140" s="342"/>
      <c r="AV140" s="344"/>
      <c r="AW140" s="342"/>
      <c r="AX140" s="342"/>
      <c r="AY140" s="342"/>
      <c r="AZ140" s="344"/>
      <c r="BA140" s="346"/>
      <c r="BB140" s="371">
        <v>0.008</v>
      </c>
      <c r="BC140" s="346">
        <v>6.35</v>
      </c>
      <c r="BD140" s="346"/>
      <c r="BE140" s="345"/>
      <c r="BF140" s="345"/>
      <c r="BG140" s="345">
        <v>1</v>
      </c>
      <c r="BH140" s="345">
        <v>1</v>
      </c>
      <c r="BI140" s="345"/>
      <c r="BJ140" s="345"/>
      <c r="BK140" s="340"/>
      <c r="BL140" s="340">
        <v>1</v>
      </c>
      <c r="BM140" s="345">
        <v>1</v>
      </c>
      <c r="BN140" s="347">
        <v>1</v>
      </c>
    </row>
    <row r="141" spans="1:66" ht="24">
      <c r="A141" s="340">
        <f t="shared" si="23"/>
        <v>13</v>
      </c>
      <c r="B141" s="341" t="s">
        <v>44</v>
      </c>
      <c r="C141" s="340">
        <v>132</v>
      </c>
      <c r="D141" s="340"/>
      <c r="E141" s="342">
        <f t="shared" si="21"/>
        <v>26.612</v>
      </c>
      <c r="F141" s="342">
        <f t="shared" si="22"/>
        <v>40.5015</v>
      </c>
      <c r="G141" s="342"/>
      <c r="H141" s="344">
        <v>0.015</v>
      </c>
      <c r="I141" s="342">
        <f>H141*475</f>
        <v>7.125</v>
      </c>
      <c r="J141" s="344">
        <v>0.015</v>
      </c>
      <c r="K141" s="342">
        <f>J141*475</f>
        <v>7.125</v>
      </c>
      <c r="L141" s="344"/>
      <c r="M141" s="342"/>
      <c r="N141" s="343"/>
      <c r="O141" s="342"/>
      <c r="P141" s="344"/>
      <c r="Q141" s="344"/>
      <c r="R141" s="344"/>
      <c r="S141" s="344"/>
      <c r="T141" s="344"/>
      <c r="U141" s="343"/>
      <c r="V141" s="342"/>
      <c r="W141" s="342"/>
      <c r="X141" s="342"/>
      <c r="Y141" s="345"/>
      <c r="Z141" s="340"/>
      <c r="AA141" s="340"/>
      <c r="AB141" s="345"/>
      <c r="AC141" s="340"/>
      <c r="AD141" s="340"/>
      <c r="AE141" s="345"/>
      <c r="AF141" s="340"/>
      <c r="AG141" s="340">
        <v>4</v>
      </c>
      <c r="AH141" s="345">
        <v>4</v>
      </c>
      <c r="AI141" s="340"/>
      <c r="AJ141" s="342"/>
      <c r="AK141" s="345"/>
      <c r="AL141" s="342"/>
      <c r="AM141" s="340"/>
      <c r="AN141" s="250" t="s">
        <v>152</v>
      </c>
      <c r="AO141" s="342">
        <f>0.25*13</f>
        <v>3.25</v>
      </c>
      <c r="AP141" s="342" t="s">
        <v>181</v>
      </c>
      <c r="AQ141" s="342">
        <f>AO141/12*39</f>
        <v>10.5625</v>
      </c>
      <c r="AR141" s="344">
        <v>0.016</v>
      </c>
      <c r="AS141" s="342">
        <v>16.237</v>
      </c>
      <c r="AT141" s="343">
        <v>0.062</v>
      </c>
      <c r="AU141" s="342">
        <v>22.814</v>
      </c>
      <c r="AV141" s="344"/>
      <c r="AW141" s="342"/>
      <c r="AX141" s="342"/>
      <c r="AY141" s="342"/>
      <c r="AZ141" s="344"/>
      <c r="BA141" s="346"/>
      <c r="BB141" s="346"/>
      <c r="BC141" s="346"/>
      <c r="BD141" s="346"/>
      <c r="BE141" s="345"/>
      <c r="BF141" s="345"/>
      <c r="BG141" s="345">
        <v>1</v>
      </c>
      <c r="BH141" s="345">
        <v>1</v>
      </c>
      <c r="BI141" s="345"/>
      <c r="BJ141" s="345"/>
      <c r="BK141" s="340">
        <v>1</v>
      </c>
      <c r="BL141" s="340">
        <v>1</v>
      </c>
      <c r="BM141" s="345">
        <v>1</v>
      </c>
      <c r="BN141" s="347"/>
    </row>
    <row r="142" spans="1:66" ht="12">
      <c r="A142" s="340">
        <f t="shared" si="23"/>
        <v>14</v>
      </c>
      <c r="B142" s="341" t="s">
        <v>44</v>
      </c>
      <c r="C142" s="340">
        <v>138</v>
      </c>
      <c r="D142" s="340"/>
      <c r="E142" s="342">
        <f t="shared" si="21"/>
        <v>290.4</v>
      </c>
      <c r="F142" s="342">
        <f t="shared" si="22"/>
        <v>394.9</v>
      </c>
      <c r="G142" s="342"/>
      <c r="H142" s="344">
        <v>0.6</v>
      </c>
      <c r="I142" s="342">
        <f>H142*475</f>
        <v>285</v>
      </c>
      <c r="J142" s="344">
        <v>0.82</v>
      </c>
      <c r="K142" s="342">
        <f>J142*475</f>
        <v>389.5</v>
      </c>
      <c r="L142" s="344">
        <v>0.015</v>
      </c>
      <c r="M142" s="344">
        <f>L142*360</f>
        <v>5.3999999999999995</v>
      </c>
      <c r="N142" s="343">
        <v>0.015</v>
      </c>
      <c r="O142" s="342">
        <f>N142*360</f>
        <v>5.3999999999999995</v>
      </c>
      <c r="P142" s="344"/>
      <c r="Q142" s="344"/>
      <c r="R142" s="344"/>
      <c r="S142" s="344"/>
      <c r="T142" s="344"/>
      <c r="U142" s="343"/>
      <c r="V142" s="342"/>
      <c r="W142" s="342"/>
      <c r="X142" s="342"/>
      <c r="Y142" s="345"/>
      <c r="Z142" s="340"/>
      <c r="AA142" s="340"/>
      <c r="AB142" s="345"/>
      <c r="AC142" s="340"/>
      <c r="AD142" s="340"/>
      <c r="AE142" s="345"/>
      <c r="AF142" s="340"/>
      <c r="AG142" s="340">
        <v>10</v>
      </c>
      <c r="AH142" s="345">
        <v>10</v>
      </c>
      <c r="AI142" s="340"/>
      <c r="AJ142" s="342"/>
      <c r="AK142" s="345"/>
      <c r="AL142" s="342"/>
      <c r="AM142" s="340"/>
      <c r="AN142" s="250"/>
      <c r="AO142" s="342"/>
      <c r="AP142" s="342"/>
      <c r="AQ142" s="342"/>
      <c r="AR142" s="344"/>
      <c r="AS142" s="342"/>
      <c r="AT142" s="342"/>
      <c r="AU142" s="342"/>
      <c r="AV142" s="344"/>
      <c r="AW142" s="342"/>
      <c r="AX142" s="342"/>
      <c r="AY142" s="342"/>
      <c r="AZ142" s="344"/>
      <c r="BA142" s="346"/>
      <c r="BB142" s="346"/>
      <c r="BC142" s="346"/>
      <c r="BD142" s="346"/>
      <c r="BE142" s="345"/>
      <c r="BF142" s="345"/>
      <c r="BG142" s="345">
        <v>3</v>
      </c>
      <c r="BH142" s="345">
        <v>3</v>
      </c>
      <c r="BI142" s="345"/>
      <c r="BJ142" s="345"/>
      <c r="BK142" s="340">
        <v>1</v>
      </c>
      <c r="BL142" s="340">
        <v>1</v>
      </c>
      <c r="BM142" s="345">
        <v>1</v>
      </c>
      <c r="BN142" s="347"/>
    </row>
    <row r="143" spans="1:66" ht="12">
      <c r="A143" s="340">
        <f t="shared" si="23"/>
        <v>15</v>
      </c>
      <c r="B143" s="341" t="s">
        <v>44</v>
      </c>
      <c r="C143" s="340">
        <v>138</v>
      </c>
      <c r="D143" s="340" t="s">
        <v>41</v>
      </c>
      <c r="E143" s="342">
        <f t="shared" si="21"/>
        <v>9.5</v>
      </c>
      <c r="F143" s="342">
        <f t="shared" si="22"/>
        <v>14.25</v>
      </c>
      <c r="G143" s="342"/>
      <c r="H143" s="344">
        <v>0.02</v>
      </c>
      <c r="I143" s="342">
        <f>H143*475</f>
        <v>9.5</v>
      </c>
      <c r="J143" s="344">
        <v>0.03</v>
      </c>
      <c r="K143" s="342">
        <f>J143*475</f>
        <v>14.25</v>
      </c>
      <c r="L143" s="344"/>
      <c r="M143" s="342"/>
      <c r="N143" s="343"/>
      <c r="O143" s="342"/>
      <c r="P143" s="344"/>
      <c r="Q143" s="344"/>
      <c r="R143" s="344"/>
      <c r="S143" s="344"/>
      <c r="T143" s="344"/>
      <c r="U143" s="343"/>
      <c r="V143" s="342"/>
      <c r="W143" s="342"/>
      <c r="X143" s="342"/>
      <c r="Y143" s="345"/>
      <c r="Z143" s="340"/>
      <c r="AA143" s="340"/>
      <c r="AB143" s="345"/>
      <c r="AC143" s="340"/>
      <c r="AD143" s="340"/>
      <c r="AE143" s="345"/>
      <c r="AF143" s="340"/>
      <c r="AG143" s="340">
        <v>18</v>
      </c>
      <c r="AH143" s="345">
        <v>18</v>
      </c>
      <c r="AI143" s="340"/>
      <c r="AJ143" s="342"/>
      <c r="AK143" s="345"/>
      <c r="AL143" s="342"/>
      <c r="AM143" s="340"/>
      <c r="AN143" s="250"/>
      <c r="AO143" s="342"/>
      <c r="AP143" s="342"/>
      <c r="AQ143" s="342"/>
      <c r="AR143" s="344"/>
      <c r="AS143" s="342"/>
      <c r="AT143" s="342"/>
      <c r="AU143" s="342"/>
      <c r="AV143" s="344"/>
      <c r="AW143" s="342"/>
      <c r="AX143" s="342"/>
      <c r="AY143" s="342"/>
      <c r="AZ143" s="344"/>
      <c r="BA143" s="346"/>
      <c r="BB143" s="346"/>
      <c r="BC143" s="346"/>
      <c r="BD143" s="346"/>
      <c r="BE143" s="345"/>
      <c r="BF143" s="345"/>
      <c r="BG143" s="345">
        <v>6</v>
      </c>
      <c r="BH143" s="345">
        <v>6</v>
      </c>
      <c r="BI143" s="345"/>
      <c r="BJ143" s="345"/>
      <c r="BK143" s="340">
        <v>1</v>
      </c>
      <c r="BL143" s="340">
        <v>1</v>
      </c>
      <c r="BM143" s="345">
        <v>1</v>
      </c>
      <c r="BN143" s="347">
        <v>1</v>
      </c>
    </row>
    <row r="144" spans="1:66" ht="24">
      <c r="A144" s="340">
        <f t="shared" si="23"/>
        <v>16</v>
      </c>
      <c r="B144" s="341" t="s">
        <v>44</v>
      </c>
      <c r="C144" s="340">
        <v>140</v>
      </c>
      <c r="D144" s="340"/>
      <c r="E144" s="342">
        <f t="shared" si="21"/>
        <v>9</v>
      </c>
      <c r="F144" s="342">
        <f t="shared" si="22"/>
        <v>12</v>
      </c>
      <c r="G144" s="342"/>
      <c r="H144" s="344"/>
      <c r="I144" s="342"/>
      <c r="J144" s="344"/>
      <c r="K144" s="344"/>
      <c r="L144" s="344"/>
      <c r="M144" s="342"/>
      <c r="N144" s="343"/>
      <c r="O144" s="342"/>
      <c r="P144" s="344"/>
      <c r="Q144" s="344"/>
      <c r="R144" s="344"/>
      <c r="S144" s="344"/>
      <c r="T144" s="344"/>
      <c r="U144" s="343"/>
      <c r="V144" s="342"/>
      <c r="W144" s="342"/>
      <c r="X144" s="342"/>
      <c r="Y144" s="345"/>
      <c r="Z144" s="340"/>
      <c r="AA144" s="340"/>
      <c r="AB144" s="345"/>
      <c r="AC144" s="340"/>
      <c r="AD144" s="340"/>
      <c r="AE144" s="345"/>
      <c r="AF144" s="340"/>
      <c r="AG144" s="340">
        <v>8</v>
      </c>
      <c r="AH144" s="345">
        <v>8</v>
      </c>
      <c r="AI144" s="340"/>
      <c r="AJ144" s="342"/>
      <c r="AK144" s="345"/>
      <c r="AL144" s="342"/>
      <c r="AM144" s="340"/>
      <c r="AN144" s="250" t="s">
        <v>182</v>
      </c>
      <c r="AO144" s="342">
        <f>3*3</f>
        <v>9</v>
      </c>
      <c r="AP144" s="342" t="s">
        <v>183</v>
      </c>
      <c r="AQ144" s="342">
        <f>AO144/3*4</f>
        <v>12</v>
      </c>
      <c r="AR144" s="344"/>
      <c r="AS144" s="342"/>
      <c r="AT144" s="342"/>
      <c r="AU144" s="342"/>
      <c r="AV144" s="344"/>
      <c r="AW144" s="342"/>
      <c r="AX144" s="342"/>
      <c r="AY144" s="342"/>
      <c r="AZ144" s="344"/>
      <c r="BA144" s="346"/>
      <c r="BB144" s="346"/>
      <c r="BC144" s="346"/>
      <c r="BD144" s="346"/>
      <c r="BE144" s="345">
        <v>2</v>
      </c>
      <c r="BF144" s="345">
        <v>2</v>
      </c>
      <c r="BG144" s="345">
        <v>2</v>
      </c>
      <c r="BH144" s="345">
        <v>2</v>
      </c>
      <c r="BI144" s="345"/>
      <c r="BJ144" s="345"/>
      <c r="BK144" s="340">
        <v>1</v>
      </c>
      <c r="BL144" s="340">
        <v>1</v>
      </c>
      <c r="BM144" s="345">
        <v>1</v>
      </c>
      <c r="BN144" s="347">
        <v>1</v>
      </c>
    </row>
    <row r="145" spans="1:66" ht="12">
      <c r="A145" s="340">
        <f t="shared" si="23"/>
        <v>17</v>
      </c>
      <c r="B145" s="341" t="s">
        <v>76</v>
      </c>
      <c r="C145" s="340">
        <v>2</v>
      </c>
      <c r="D145" s="340" t="s">
        <v>40</v>
      </c>
      <c r="E145" s="342">
        <f t="shared" si="21"/>
        <v>0</v>
      </c>
      <c r="F145" s="342">
        <f t="shared" si="22"/>
        <v>4</v>
      </c>
      <c r="G145" s="342"/>
      <c r="H145" s="344"/>
      <c r="I145" s="342"/>
      <c r="J145" s="344"/>
      <c r="K145" s="344"/>
      <c r="L145" s="344"/>
      <c r="M145" s="342"/>
      <c r="N145" s="343"/>
      <c r="O145" s="342"/>
      <c r="P145" s="344"/>
      <c r="Q145" s="344"/>
      <c r="R145" s="344"/>
      <c r="S145" s="344"/>
      <c r="T145" s="344"/>
      <c r="U145" s="343"/>
      <c r="V145" s="342"/>
      <c r="W145" s="342"/>
      <c r="X145" s="342"/>
      <c r="Y145" s="345"/>
      <c r="Z145" s="340"/>
      <c r="AA145" s="340"/>
      <c r="AB145" s="345"/>
      <c r="AC145" s="340"/>
      <c r="AD145" s="340"/>
      <c r="AE145" s="345"/>
      <c r="AF145" s="340"/>
      <c r="AG145" s="340">
        <v>2</v>
      </c>
      <c r="AH145" s="345"/>
      <c r="AI145" s="340"/>
      <c r="AJ145" s="342"/>
      <c r="AK145" s="345"/>
      <c r="AL145" s="342"/>
      <c r="AM145" s="340"/>
      <c r="AN145" s="250"/>
      <c r="AO145" s="342"/>
      <c r="AP145" s="342" t="s">
        <v>180</v>
      </c>
      <c r="AQ145" s="342">
        <v>4</v>
      </c>
      <c r="AR145" s="344"/>
      <c r="AS145" s="342"/>
      <c r="AT145" s="342"/>
      <c r="AU145" s="342"/>
      <c r="AV145" s="344"/>
      <c r="AW145" s="342"/>
      <c r="AX145" s="342"/>
      <c r="AY145" s="342"/>
      <c r="AZ145" s="344"/>
      <c r="BA145" s="342"/>
      <c r="BB145" s="346"/>
      <c r="BC145" s="346"/>
      <c r="BD145" s="346"/>
      <c r="BE145" s="345">
        <v>2</v>
      </c>
      <c r="BF145" s="345">
        <v>2</v>
      </c>
      <c r="BG145" s="345">
        <v>2</v>
      </c>
      <c r="BH145" s="345">
        <v>2</v>
      </c>
      <c r="BI145" s="345"/>
      <c r="BJ145" s="345"/>
      <c r="BK145" s="340"/>
      <c r="BL145" s="345"/>
      <c r="BM145" s="345">
        <v>1</v>
      </c>
      <c r="BN145" s="347"/>
    </row>
    <row r="146" spans="1:66" ht="12.75" thickBot="1">
      <c r="A146" s="340">
        <f t="shared" si="23"/>
        <v>18</v>
      </c>
      <c r="B146" s="341" t="s">
        <v>76</v>
      </c>
      <c r="C146" s="340">
        <v>2</v>
      </c>
      <c r="D146" s="340"/>
      <c r="E146" s="342">
        <f t="shared" si="21"/>
        <v>31.6</v>
      </c>
      <c r="F146" s="342">
        <f t="shared" si="22"/>
        <v>37.897999999999996</v>
      </c>
      <c r="G146" s="342"/>
      <c r="H146" s="344">
        <v>0.04</v>
      </c>
      <c r="I146" s="342">
        <f>H146*475</f>
        <v>19</v>
      </c>
      <c r="J146" s="344">
        <v>0.05</v>
      </c>
      <c r="K146" s="342">
        <f>J146*475</f>
        <v>23.75</v>
      </c>
      <c r="L146" s="344">
        <v>0.035</v>
      </c>
      <c r="M146" s="344">
        <f>L146*360</f>
        <v>12.600000000000001</v>
      </c>
      <c r="N146" s="343">
        <v>0.0393</v>
      </c>
      <c r="O146" s="342">
        <f>N146*360</f>
        <v>14.148</v>
      </c>
      <c r="P146" s="344"/>
      <c r="Q146" s="344"/>
      <c r="R146" s="344"/>
      <c r="S146" s="344"/>
      <c r="T146" s="344"/>
      <c r="U146" s="343"/>
      <c r="V146" s="342"/>
      <c r="W146" s="342"/>
      <c r="X146" s="342"/>
      <c r="Y146" s="345"/>
      <c r="Z146" s="340"/>
      <c r="AA146" s="340"/>
      <c r="AB146" s="345"/>
      <c r="AC146" s="340"/>
      <c r="AD146" s="340"/>
      <c r="AE146" s="345"/>
      <c r="AF146" s="340"/>
      <c r="AG146" s="340"/>
      <c r="AH146" s="345"/>
      <c r="AI146" s="340"/>
      <c r="AJ146" s="342"/>
      <c r="AK146" s="345"/>
      <c r="AL146" s="342"/>
      <c r="AM146" s="340"/>
      <c r="AN146" s="250"/>
      <c r="AO146" s="342"/>
      <c r="AP146" s="342"/>
      <c r="AQ146" s="342"/>
      <c r="AR146" s="344"/>
      <c r="AS146" s="342"/>
      <c r="AT146" s="342"/>
      <c r="AU146" s="342"/>
      <c r="AV146" s="344"/>
      <c r="AW146" s="342"/>
      <c r="AX146" s="342"/>
      <c r="AY146" s="342"/>
      <c r="AZ146" s="344"/>
      <c r="BA146" s="346"/>
      <c r="BB146" s="346"/>
      <c r="BC146" s="346"/>
      <c r="BD146" s="346"/>
      <c r="BE146" s="345"/>
      <c r="BF146" s="345"/>
      <c r="BG146" s="345">
        <v>4</v>
      </c>
      <c r="BH146" s="345">
        <v>4</v>
      </c>
      <c r="BI146" s="345"/>
      <c r="BJ146" s="345"/>
      <c r="BK146" s="340">
        <v>1</v>
      </c>
      <c r="BL146" s="340">
        <v>1</v>
      </c>
      <c r="BM146" s="345">
        <v>1</v>
      </c>
      <c r="BN146" s="347"/>
    </row>
    <row r="147" spans="1:66" ht="12">
      <c r="A147" s="413" t="s">
        <v>0</v>
      </c>
      <c r="B147" s="414" t="s">
        <v>1</v>
      </c>
      <c r="C147" s="415"/>
      <c r="D147" s="416"/>
      <c r="E147" s="417" t="s">
        <v>2</v>
      </c>
      <c r="F147" s="418"/>
      <c r="G147" s="419"/>
      <c r="H147" s="420" t="s">
        <v>3</v>
      </c>
      <c r="I147" s="421"/>
      <c r="J147" s="421"/>
      <c r="K147" s="421"/>
      <c r="L147" s="422"/>
      <c r="M147" s="422"/>
      <c r="N147" s="422"/>
      <c r="O147" s="422"/>
      <c r="P147" s="422"/>
      <c r="Q147" s="422"/>
      <c r="R147" s="422"/>
      <c r="S147" s="422"/>
      <c r="T147" s="422"/>
      <c r="U147" s="422"/>
      <c r="V147" s="422"/>
      <c r="W147" s="422"/>
      <c r="X147" s="422"/>
      <c r="Y147" s="422"/>
      <c r="Z147" s="422"/>
      <c r="AA147" s="422"/>
      <c r="AB147" s="422"/>
      <c r="AC147" s="422"/>
      <c r="AD147" s="422"/>
      <c r="AE147" s="422"/>
      <c r="AF147" s="422"/>
      <c r="AG147" s="422"/>
      <c r="AH147" s="422"/>
      <c r="AI147" s="422"/>
      <c r="AJ147" s="422"/>
      <c r="AK147" s="422"/>
      <c r="AL147" s="422"/>
      <c r="AM147" s="422"/>
      <c r="AN147" s="422"/>
      <c r="AO147" s="422"/>
      <c r="AP147" s="422"/>
      <c r="AQ147" s="422"/>
      <c r="AR147" s="422"/>
      <c r="AS147" s="422"/>
      <c r="AT147" s="422"/>
      <c r="AU147" s="422"/>
      <c r="AV147" s="422"/>
      <c r="AW147" s="422"/>
      <c r="AX147" s="422"/>
      <c r="AY147" s="422"/>
      <c r="AZ147" s="422"/>
      <c r="BA147" s="422"/>
      <c r="BB147" s="422"/>
      <c r="BC147" s="422"/>
      <c r="BD147" s="422"/>
      <c r="BE147" s="422"/>
      <c r="BF147" s="422"/>
      <c r="BG147" s="422"/>
      <c r="BH147" s="422"/>
      <c r="BI147" s="422"/>
      <c r="BJ147" s="423"/>
      <c r="BK147" s="424" t="s">
        <v>4</v>
      </c>
      <c r="BL147" s="425"/>
      <c r="BM147" s="426" t="s">
        <v>5</v>
      </c>
      <c r="BN147" s="427"/>
    </row>
    <row r="148" spans="1:66" ht="12">
      <c r="A148" s="428"/>
      <c r="B148" s="310"/>
      <c r="C148" s="311"/>
      <c r="D148" s="312"/>
      <c r="E148" s="313"/>
      <c r="F148" s="314"/>
      <c r="G148" s="315"/>
      <c r="H148" s="390" t="s">
        <v>9</v>
      </c>
      <c r="I148" s="391"/>
      <c r="J148" s="391"/>
      <c r="K148" s="391"/>
      <c r="L148" s="391"/>
      <c r="M148" s="391"/>
      <c r="N148" s="391"/>
      <c r="O148" s="391"/>
      <c r="P148" s="391"/>
      <c r="Q148" s="391"/>
      <c r="R148" s="391"/>
      <c r="S148" s="391"/>
      <c r="T148" s="391"/>
      <c r="U148" s="391"/>
      <c r="V148" s="391"/>
      <c r="W148" s="391"/>
      <c r="X148" s="391"/>
      <c r="Y148" s="391"/>
      <c r="Z148" s="391"/>
      <c r="AA148" s="391"/>
      <c r="AB148" s="391"/>
      <c r="AC148" s="391"/>
      <c r="AD148" s="391"/>
      <c r="AE148" s="391"/>
      <c r="AF148" s="391"/>
      <c r="AG148" s="391"/>
      <c r="AH148" s="391"/>
      <c r="AI148" s="391"/>
      <c r="AJ148" s="391"/>
      <c r="AK148" s="391"/>
      <c r="AL148" s="391"/>
      <c r="AM148" s="392"/>
      <c r="AN148" s="316" t="s">
        <v>10</v>
      </c>
      <c r="AO148" s="317"/>
      <c r="AP148" s="317"/>
      <c r="AQ148" s="317"/>
      <c r="AR148" s="318"/>
      <c r="AS148" s="318"/>
      <c r="AT148" s="318"/>
      <c r="AU148" s="318"/>
      <c r="AV148" s="318"/>
      <c r="AW148" s="318"/>
      <c r="AX148" s="318"/>
      <c r="AY148" s="318"/>
      <c r="AZ148" s="318"/>
      <c r="BA148" s="318"/>
      <c r="BB148" s="318"/>
      <c r="BC148" s="318"/>
      <c r="BD148" s="318"/>
      <c r="BE148" s="318"/>
      <c r="BF148" s="318"/>
      <c r="BG148" s="318"/>
      <c r="BH148" s="318"/>
      <c r="BI148" s="318"/>
      <c r="BJ148" s="319" t="s">
        <v>97</v>
      </c>
      <c r="BK148" s="320"/>
      <c r="BL148" s="321"/>
      <c r="BM148" s="322"/>
      <c r="BN148" s="429"/>
    </row>
    <row r="149" spans="1:66" ht="75" customHeight="1">
      <c r="A149" s="428"/>
      <c r="B149" s="323" t="s">
        <v>11</v>
      </c>
      <c r="C149" s="323" t="s">
        <v>12</v>
      </c>
      <c r="D149" s="323" t="s">
        <v>13</v>
      </c>
      <c r="E149" s="324" t="s">
        <v>170</v>
      </c>
      <c r="F149" s="324" t="s">
        <v>171</v>
      </c>
      <c r="G149" s="324" t="s">
        <v>16</v>
      </c>
      <c r="H149" s="325" t="s">
        <v>98</v>
      </c>
      <c r="I149" s="326"/>
      <c r="J149" s="326"/>
      <c r="K149" s="326"/>
      <c r="L149" s="325" t="s">
        <v>17</v>
      </c>
      <c r="M149" s="326"/>
      <c r="N149" s="327"/>
      <c r="O149" s="326"/>
      <c r="P149" s="325" t="s">
        <v>99</v>
      </c>
      <c r="Q149" s="326"/>
      <c r="R149" s="326"/>
      <c r="S149" s="326"/>
      <c r="T149" s="328" t="s">
        <v>18</v>
      </c>
      <c r="U149" s="329" t="s">
        <v>138</v>
      </c>
      <c r="V149" s="326"/>
      <c r="W149" s="326"/>
      <c r="X149" s="326"/>
      <c r="Y149" s="330" t="s">
        <v>19</v>
      </c>
      <c r="Z149" s="331"/>
      <c r="AA149" s="332" t="s">
        <v>86</v>
      </c>
      <c r="AB149" s="333"/>
      <c r="AC149" s="248" t="s">
        <v>87</v>
      </c>
      <c r="AD149" s="326"/>
      <c r="AE149" s="326"/>
      <c r="AF149" s="334"/>
      <c r="AG149" s="248" t="s">
        <v>88</v>
      </c>
      <c r="AH149" s="333"/>
      <c r="AI149" s="248" t="s">
        <v>139</v>
      </c>
      <c r="AJ149" s="326"/>
      <c r="AK149" s="326"/>
      <c r="AL149" s="326"/>
      <c r="AM149" s="332" t="s">
        <v>20</v>
      </c>
      <c r="AN149" s="325" t="s">
        <v>21</v>
      </c>
      <c r="AO149" s="326"/>
      <c r="AP149" s="326"/>
      <c r="AQ149" s="326"/>
      <c r="AR149" s="325" t="s">
        <v>22</v>
      </c>
      <c r="AS149" s="326"/>
      <c r="AT149" s="326"/>
      <c r="AU149" s="326"/>
      <c r="AV149" s="325" t="s">
        <v>23</v>
      </c>
      <c r="AW149" s="326"/>
      <c r="AX149" s="326"/>
      <c r="AY149" s="326"/>
      <c r="AZ149" s="325" t="s">
        <v>172</v>
      </c>
      <c r="BA149" s="326"/>
      <c r="BB149" s="326"/>
      <c r="BC149" s="326"/>
      <c r="BD149" s="335" t="s">
        <v>24</v>
      </c>
      <c r="BE149" s="330" t="s">
        <v>25</v>
      </c>
      <c r="BF149" s="333"/>
      <c r="BG149" s="330" t="s">
        <v>26</v>
      </c>
      <c r="BH149" s="333"/>
      <c r="BI149" s="336" t="s">
        <v>27</v>
      </c>
      <c r="BJ149" s="337"/>
      <c r="BK149" s="320"/>
      <c r="BL149" s="338"/>
      <c r="BM149" s="339"/>
      <c r="BN149" s="430"/>
    </row>
    <row r="150" spans="1:66" ht="12.75" customHeight="1" thickBot="1">
      <c r="A150" s="431"/>
      <c r="B150" s="432"/>
      <c r="C150" s="432"/>
      <c r="D150" s="432"/>
      <c r="E150" s="433"/>
      <c r="F150" s="433"/>
      <c r="G150" s="433"/>
      <c r="H150" s="434" t="s">
        <v>173</v>
      </c>
      <c r="I150" s="435" t="s">
        <v>29</v>
      </c>
      <c r="J150" s="435" t="s">
        <v>174</v>
      </c>
      <c r="K150" s="435" t="s">
        <v>29</v>
      </c>
      <c r="L150" s="434" t="s">
        <v>173</v>
      </c>
      <c r="M150" s="435" t="s">
        <v>29</v>
      </c>
      <c r="N150" s="436" t="s">
        <v>174</v>
      </c>
      <c r="O150" s="435" t="s">
        <v>29</v>
      </c>
      <c r="P150" s="437" t="s">
        <v>173</v>
      </c>
      <c r="Q150" s="435" t="s">
        <v>29</v>
      </c>
      <c r="R150" s="435" t="s">
        <v>174</v>
      </c>
      <c r="S150" s="435" t="s">
        <v>29</v>
      </c>
      <c r="T150" s="438"/>
      <c r="U150" s="437" t="s">
        <v>173</v>
      </c>
      <c r="V150" s="435" t="s">
        <v>29</v>
      </c>
      <c r="W150" s="435" t="s">
        <v>174</v>
      </c>
      <c r="X150" s="435" t="s">
        <v>29</v>
      </c>
      <c r="Y150" s="437" t="s">
        <v>31</v>
      </c>
      <c r="Z150" s="435" t="s">
        <v>29</v>
      </c>
      <c r="AA150" s="437" t="s">
        <v>173</v>
      </c>
      <c r="AB150" s="437" t="s">
        <v>174</v>
      </c>
      <c r="AC150" s="437" t="s">
        <v>173</v>
      </c>
      <c r="AD150" s="435" t="s">
        <v>29</v>
      </c>
      <c r="AE150" s="437" t="s">
        <v>174</v>
      </c>
      <c r="AF150" s="435" t="s">
        <v>29</v>
      </c>
      <c r="AG150" s="437" t="s">
        <v>173</v>
      </c>
      <c r="AH150" s="437" t="s">
        <v>174</v>
      </c>
      <c r="AI150" s="437" t="s">
        <v>173</v>
      </c>
      <c r="AJ150" s="435" t="s">
        <v>29</v>
      </c>
      <c r="AK150" s="437" t="s">
        <v>174</v>
      </c>
      <c r="AL150" s="435" t="s">
        <v>29</v>
      </c>
      <c r="AM150" s="432"/>
      <c r="AN150" s="437" t="s">
        <v>173</v>
      </c>
      <c r="AO150" s="435" t="s">
        <v>29</v>
      </c>
      <c r="AP150" s="435" t="s">
        <v>174</v>
      </c>
      <c r="AQ150" s="435" t="s">
        <v>29</v>
      </c>
      <c r="AR150" s="437" t="s">
        <v>173</v>
      </c>
      <c r="AS150" s="435" t="s">
        <v>29</v>
      </c>
      <c r="AT150" s="435" t="s">
        <v>174</v>
      </c>
      <c r="AU150" s="435" t="s">
        <v>29</v>
      </c>
      <c r="AV150" s="437" t="s">
        <v>173</v>
      </c>
      <c r="AW150" s="435" t="s">
        <v>29</v>
      </c>
      <c r="AX150" s="435" t="s">
        <v>174</v>
      </c>
      <c r="AY150" s="435" t="s">
        <v>29</v>
      </c>
      <c r="AZ150" s="437" t="s">
        <v>173</v>
      </c>
      <c r="BA150" s="435" t="s">
        <v>29</v>
      </c>
      <c r="BB150" s="435" t="s">
        <v>174</v>
      </c>
      <c r="BC150" s="439" t="s">
        <v>29</v>
      </c>
      <c r="BD150" s="440"/>
      <c r="BE150" s="437" t="s">
        <v>173</v>
      </c>
      <c r="BF150" s="437" t="s">
        <v>174</v>
      </c>
      <c r="BG150" s="437" t="s">
        <v>173</v>
      </c>
      <c r="BH150" s="437" t="s">
        <v>174</v>
      </c>
      <c r="BI150" s="441"/>
      <c r="BJ150" s="442"/>
      <c r="BK150" s="437" t="s">
        <v>173</v>
      </c>
      <c r="BL150" s="437" t="s">
        <v>174</v>
      </c>
      <c r="BM150" s="437" t="s">
        <v>173</v>
      </c>
      <c r="BN150" s="443" t="s">
        <v>174</v>
      </c>
    </row>
    <row r="151" spans="1:66" ht="24">
      <c r="A151" s="340">
        <f>A146+1</f>
        <v>19</v>
      </c>
      <c r="B151" s="341" t="s">
        <v>76</v>
      </c>
      <c r="C151" s="340">
        <v>5</v>
      </c>
      <c r="D151" s="340"/>
      <c r="E151" s="342">
        <f t="shared" si="21"/>
        <v>16.125</v>
      </c>
      <c r="F151" s="342">
        <f t="shared" si="22"/>
        <v>10.125</v>
      </c>
      <c r="G151" s="342"/>
      <c r="H151" s="344">
        <v>0.015</v>
      </c>
      <c r="I151" s="342">
        <f>H151*475</f>
        <v>7.125</v>
      </c>
      <c r="J151" s="344">
        <v>0.015</v>
      </c>
      <c r="K151" s="342">
        <f>J151*475</f>
        <v>7.125</v>
      </c>
      <c r="L151" s="344"/>
      <c r="M151" s="342"/>
      <c r="N151" s="343"/>
      <c r="O151" s="342"/>
      <c r="P151" s="344"/>
      <c r="Q151" s="344"/>
      <c r="R151" s="344"/>
      <c r="S151" s="344"/>
      <c r="T151" s="344"/>
      <c r="U151" s="343"/>
      <c r="V151" s="342"/>
      <c r="W151" s="342"/>
      <c r="X151" s="342"/>
      <c r="Y151" s="345"/>
      <c r="Z151" s="340"/>
      <c r="AA151" s="340">
        <v>4</v>
      </c>
      <c r="AB151" s="345"/>
      <c r="AC151" s="340"/>
      <c r="AD151" s="340"/>
      <c r="AE151" s="345"/>
      <c r="AF151" s="340"/>
      <c r="AG151" s="340"/>
      <c r="AH151" s="345"/>
      <c r="AI151" s="340"/>
      <c r="AJ151" s="342"/>
      <c r="AK151" s="345"/>
      <c r="AL151" s="342"/>
      <c r="AM151" s="340"/>
      <c r="AN151" s="250" t="s">
        <v>182</v>
      </c>
      <c r="AO151" s="342">
        <v>9</v>
      </c>
      <c r="AP151" s="344" t="s">
        <v>184</v>
      </c>
      <c r="AQ151" s="342">
        <v>3</v>
      </c>
      <c r="AR151" s="344"/>
      <c r="AS151" s="342"/>
      <c r="AT151" s="342"/>
      <c r="AU151" s="342"/>
      <c r="AV151" s="344"/>
      <c r="AW151" s="342"/>
      <c r="AX151" s="342"/>
      <c r="AY151" s="342"/>
      <c r="AZ151" s="344"/>
      <c r="BA151" s="342"/>
      <c r="BB151" s="346"/>
      <c r="BC151" s="346"/>
      <c r="BD151" s="346"/>
      <c r="BE151" s="345">
        <v>1</v>
      </c>
      <c r="BF151" s="345">
        <v>1</v>
      </c>
      <c r="BG151" s="345">
        <v>4</v>
      </c>
      <c r="BH151" s="345">
        <v>4</v>
      </c>
      <c r="BI151" s="345"/>
      <c r="BJ151" s="345"/>
      <c r="BK151" s="340"/>
      <c r="BL151" s="345">
        <v>1</v>
      </c>
      <c r="BM151" s="345">
        <v>1</v>
      </c>
      <c r="BN151" s="347">
        <v>1</v>
      </c>
    </row>
    <row r="152" spans="1:66" ht="24">
      <c r="A152" s="340">
        <f t="shared" si="23"/>
        <v>20</v>
      </c>
      <c r="B152" s="341" t="s">
        <v>76</v>
      </c>
      <c r="C152" s="340">
        <v>7</v>
      </c>
      <c r="D152" s="340"/>
      <c r="E152" s="342">
        <f t="shared" si="21"/>
        <v>31.56</v>
      </c>
      <c r="F152" s="342">
        <f t="shared" si="22"/>
        <v>35.482</v>
      </c>
      <c r="G152" s="342"/>
      <c r="H152" s="344"/>
      <c r="I152" s="342"/>
      <c r="J152" s="344">
        <v>0.01</v>
      </c>
      <c r="K152" s="342">
        <f>J152*475</f>
        <v>4.75</v>
      </c>
      <c r="L152" s="344">
        <v>0.071</v>
      </c>
      <c r="M152" s="344">
        <f>L152*360</f>
        <v>25.56</v>
      </c>
      <c r="N152" s="343">
        <v>0.0687</v>
      </c>
      <c r="O152" s="342">
        <f>N152*360</f>
        <v>24.732</v>
      </c>
      <c r="P152" s="344"/>
      <c r="Q152" s="344"/>
      <c r="R152" s="344"/>
      <c r="S152" s="344"/>
      <c r="T152" s="344"/>
      <c r="U152" s="343"/>
      <c r="V152" s="342"/>
      <c r="W152" s="342"/>
      <c r="X152" s="342"/>
      <c r="Y152" s="345"/>
      <c r="Z152" s="340"/>
      <c r="AA152" s="340">
        <v>2</v>
      </c>
      <c r="AB152" s="345"/>
      <c r="AC152" s="340"/>
      <c r="AD152" s="340"/>
      <c r="AE152" s="345"/>
      <c r="AF152" s="340"/>
      <c r="AG152" s="340"/>
      <c r="AH152" s="345"/>
      <c r="AI152" s="340"/>
      <c r="AJ152" s="342"/>
      <c r="AK152" s="345"/>
      <c r="AL152" s="342"/>
      <c r="AM152" s="340"/>
      <c r="AN152" s="250" t="s">
        <v>185</v>
      </c>
      <c r="AO152" s="342">
        <v>6</v>
      </c>
      <c r="AP152" s="342" t="s">
        <v>180</v>
      </c>
      <c r="AQ152" s="342">
        <f>AO152</f>
        <v>6</v>
      </c>
      <c r="AR152" s="344"/>
      <c r="AS152" s="342"/>
      <c r="AT152" s="342"/>
      <c r="AU152" s="342"/>
      <c r="AV152" s="344"/>
      <c r="AW152" s="342"/>
      <c r="AX152" s="342"/>
      <c r="AY152" s="342"/>
      <c r="AZ152" s="344"/>
      <c r="BA152" s="346"/>
      <c r="BB152" s="346"/>
      <c r="BC152" s="346"/>
      <c r="BD152" s="346"/>
      <c r="BE152" s="345">
        <v>1</v>
      </c>
      <c r="BF152" s="345">
        <v>1</v>
      </c>
      <c r="BG152" s="345">
        <v>2</v>
      </c>
      <c r="BH152" s="345">
        <v>2</v>
      </c>
      <c r="BI152" s="345"/>
      <c r="BJ152" s="345"/>
      <c r="BK152" s="340">
        <v>1</v>
      </c>
      <c r="BL152" s="345">
        <v>1</v>
      </c>
      <c r="BM152" s="345">
        <v>1</v>
      </c>
      <c r="BN152" s="347">
        <v>1</v>
      </c>
    </row>
    <row r="153" spans="1:66" ht="24">
      <c r="A153" s="340">
        <f t="shared" si="23"/>
        <v>21</v>
      </c>
      <c r="B153" s="341" t="s">
        <v>77</v>
      </c>
      <c r="C153" s="340">
        <v>1</v>
      </c>
      <c r="D153" s="340" t="s">
        <v>40</v>
      </c>
      <c r="E153" s="342">
        <f t="shared" si="21"/>
        <v>0</v>
      </c>
      <c r="F153" s="342">
        <f t="shared" si="22"/>
        <v>9</v>
      </c>
      <c r="G153" s="342"/>
      <c r="H153" s="344"/>
      <c r="I153" s="342"/>
      <c r="J153" s="344"/>
      <c r="K153" s="344"/>
      <c r="L153" s="344"/>
      <c r="M153" s="342"/>
      <c r="N153" s="343"/>
      <c r="O153" s="342"/>
      <c r="P153" s="344"/>
      <c r="Q153" s="344"/>
      <c r="R153" s="344"/>
      <c r="S153" s="344"/>
      <c r="T153" s="344"/>
      <c r="U153" s="343"/>
      <c r="V153" s="342">
        <f>U153*1100</f>
        <v>0</v>
      </c>
      <c r="W153" s="344"/>
      <c r="X153" s="342"/>
      <c r="Y153" s="345"/>
      <c r="Z153" s="340"/>
      <c r="AA153" s="340"/>
      <c r="AB153" s="345"/>
      <c r="AC153" s="340"/>
      <c r="AD153" s="340"/>
      <c r="AE153" s="345"/>
      <c r="AF153" s="340"/>
      <c r="AG153" s="340">
        <v>1</v>
      </c>
      <c r="AH153" s="345"/>
      <c r="AI153" s="340"/>
      <c r="AJ153" s="342"/>
      <c r="AK153" s="345"/>
      <c r="AL153" s="342"/>
      <c r="AM153" s="340"/>
      <c r="AN153" s="250"/>
      <c r="AO153" s="342"/>
      <c r="AP153" s="250" t="s">
        <v>182</v>
      </c>
      <c r="AQ153" s="342">
        <f>3*3</f>
        <v>9</v>
      </c>
      <c r="AR153" s="344"/>
      <c r="AS153" s="342"/>
      <c r="AT153" s="342"/>
      <c r="AU153" s="342"/>
      <c r="AV153" s="344"/>
      <c r="AW153" s="342"/>
      <c r="AX153" s="342"/>
      <c r="AY153" s="342"/>
      <c r="AZ153" s="344"/>
      <c r="BA153" s="342"/>
      <c r="BB153" s="346"/>
      <c r="BC153" s="346"/>
      <c r="BD153" s="346"/>
      <c r="BE153" s="345">
        <v>2</v>
      </c>
      <c r="BF153" s="345">
        <v>2</v>
      </c>
      <c r="BG153" s="345">
        <v>2</v>
      </c>
      <c r="BH153" s="345">
        <v>2</v>
      </c>
      <c r="BI153" s="345"/>
      <c r="BJ153" s="345"/>
      <c r="BK153" s="340">
        <v>1</v>
      </c>
      <c r="BL153" s="345">
        <v>1</v>
      </c>
      <c r="BM153" s="345">
        <v>1</v>
      </c>
      <c r="BN153" s="347">
        <v>1</v>
      </c>
    </row>
    <row r="154" spans="1:66" ht="36">
      <c r="A154" s="340">
        <f t="shared" si="23"/>
        <v>22</v>
      </c>
      <c r="B154" s="341" t="s">
        <v>77</v>
      </c>
      <c r="C154" s="340">
        <v>6</v>
      </c>
      <c r="D154" s="340"/>
      <c r="E154" s="342">
        <f t="shared" si="21"/>
        <v>14.25</v>
      </c>
      <c r="F154" s="342">
        <f t="shared" si="22"/>
        <v>35</v>
      </c>
      <c r="G154" s="342"/>
      <c r="H154" s="344">
        <v>0.03</v>
      </c>
      <c r="I154" s="342">
        <f>H154*475</f>
        <v>14.25</v>
      </c>
      <c r="J154" s="344">
        <v>0.04</v>
      </c>
      <c r="K154" s="342">
        <f>J154*475</f>
        <v>19</v>
      </c>
      <c r="L154" s="344"/>
      <c r="M154" s="342"/>
      <c r="N154" s="343"/>
      <c r="O154" s="342"/>
      <c r="P154" s="344"/>
      <c r="Q154" s="344"/>
      <c r="R154" s="344"/>
      <c r="S154" s="344"/>
      <c r="T154" s="344"/>
      <c r="U154" s="343"/>
      <c r="V154" s="342"/>
      <c r="W154" s="342"/>
      <c r="X154" s="342"/>
      <c r="Y154" s="345"/>
      <c r="Z154" s="340"/>
      <c r="AA154" s="340">
        <v>1</v>
      </c>
      <c r="AB154" s="345"/>
      <c r="AC154" s="340"/>
      <c r="AD154" s="340"/>
      <c r="AE154" s="345"/>
      <c r="AF154" s="340"/>
      <c r="AG154" s="340">
        <v>2</v>
      </c>
      <c r="AH154" s="345"/>
      <c r="AI154" s="340"/>
      <c r="AJ154" s="342"/>
      <c r="AK154" s="345"/>
      <c r="AL154" s="342"/>
      <c r="AM154" s="340"/>
      <c r="AN154" s="250"/>
      <c r="AO154" s="342"/>
      <c r="AP154" s="250" t="s">
        <v>186</v>
      </c>
      <c r="AQ154" s="342">
        <v>16</v>
      </c>
      <c r="AR154" s="344"/>
      <c r="AS154" s="342"/>
      <c r="AT154" s="342"/>
      <c r="AU154" s="342"/>
      <c r="AV154" s="344"/>
      <c r="AW154" s="342"/>
      <c r="AX154" s="342"/>
      <c r="AY154" s="342"/>
      <c r="AZ154" s="344"/>
      <c r="BA154" s="342"/>
      <c r="BB154" s="346"/>
      <c r="BC154" s="346"/>
      <c r="BD154" s="346"/>
      <c r="BE154" s="345">
        <v>1</v>
      </c>
      <c r="BF154" s="345">
        <v>1</v>
      </c>
      <c r="BG154" s="345">
        <v>2</v>
      </c>
      <c r="BH154" s="345">
        <v>2</v>
      </c>
      <c r="BI154" s="345"/>
      <c r="BJ154" s="345"/>
      <c r="BK154" s="340">
        <v>1</v>
      </c>
      <c r="BL154" s="340">
        <v>1</v>
      </c>
      <c r="BM154" s="345">
        <v>1</v>
      </c>
      <c r="BN154" s="347">
        <v>1</v>
      </c>
    </row>
    <row r="155" spans="1:66" ht="24">
      <c r="A155" s="340">
        <f t="shared" si="23"/>
        <v>23</v>
      </c>
      <c r="B155" s="341" t="s">
        <v>77</v>
      </c>
      <c r="C155" s="340">
        <v>8</v>
      </c>
      <c r="D155" s="340"/>
      <c r="E155" s="342">
        <f t="shared" si="21"/>
        <v>6</v>
      </c>
      <c r="F155" s="342">
        <f t="shared" si="22"/>
        <v>6</v>
      </c>
      <c r="G155" s="342"/>
      <c r="H155" s="344"/>
      <c r="I155" s="342"/>
      <c r="J155" s="344"/>
      <c r="K155" s="344"/>
      <c r="L155" s="344"/>
      <c r="M155" s="342"/>
      <c r="N155" s="343"/>
      <c r="O155" s="342"/>
      <c r="P155" s="344"/>
      <c r="Q155" s="344"/>
      <c r="R155" s="344"/>
      <c r="S155" s="344"/>
      <c r="T155" s="344"/>
      <c r="U155" s="343"/>
      <c r="V155" s="342">
        <f>U155*1100</f>
        <v>0</v>
      </c>
      <c r="W155" s="342"/>
      <c r="X155" s="342"/>
      <c r="Y155" s="345"/>
      <c r="Z155" s="340"/>
      <c r="AA155" s="340"/>
      <c r="AB155" s="345"/>
      <c r="AC155" s="340"/>
      <c r="AD155" s="340"/>
      <c r="AE155" s="345"/>
      <c r="AF155" s="340"/>
      <c r="AG155" s="340">
        <v>2</v>
      </c>
      <c r="AH155" s="345"/>
      <c r="AI155" s="340"/>
      <c r="AJ155" s="342"/>
      <c r="AK155" s="345"/>
      <c r="AL155" s="342"/>
      <c r="AM155" s="340"/>
      <c r="AN155" s="250" t="s">
        <v>187</v>
      </c>
      <c r="AO155" s="342">
        <v>6</v>
      </c>
      <c r="AP155" s="342" t="s">
        <v>180</v>
      </c>
      <c r="AQ155" s="342">
        <f>AO155</f>
        <v>6</v>
      </c>
      <c r="AR155" s="344"/>
      <c r="AS155" s="342"/>
      <c r="AT155" s="342"/>
      <c r="AU155" s="342"/>
      <c r="AV155" s="344"/>
      <c r="AW155" s="342"/>
      <c r="AX155" s="342"/>
      <c r="AY155" s="342"/>
      <c r="AZ155" s="344"/>
      <c r="BA155" s="346"/>
      <c r="BB155" s="346"/>
      <c r="BC155" s="346"/>
      <c r="BD155" s="346"/>
      <c r="BE155" s="345">
        <v>1</v>
      </c>
      <c r="BF155" s="345">
        <v>1</v>
      </c>
      <c r="BG155" s="345">
        <v>3</v>
      </c>
      <c r="BH155" s="345">
        <v>3</v>
      </c>
      <c r="BI155" s="345"/>
      <c r="BJ155" s="345"/>
      <c r="BK155" s="340">
        <v>1</v>
      </c>
      <c r="BL155" s="340">
        <v>1</v>
      </c>
      <c r="BM155" s="345">
        <v>1</v>
      </c>
      <c r="BN155" s="347">
        <v>1</v>
      </c>
    </row>
    <row r="156" spans="1:66" ht="24">
      <c r="A156" s="340">
        <f t="shared" si="23"/>
        <v>24</v>
      </c>
      <c r="B156" s="341" t="s">
        <v>77</v>
      </c>
      <c r="C156" s="340">
        <v>33</v>
      </c>
      <c r="D156" s="340" t="s">
        <v>41</v>
      </c>
      <c r="E156" s="342">
        <f t="shared" si="21"/>
        <v>6</v>
      </c>
      <c r="F156" s="342">
        <f t="shared" si="22"/>
        <v>6</v>
      </c>
      <c r="G156" s="342"/>
      <c r="H156" s="344"/>
      <c r="I156" s="342"/>
      <c r="J156" s="344"/>
      <c r="K156" s="342"/>
      <c r="L156" s="344"/>
      <c r="M156" s="342"/>
      <c r="N156" s="343"/>
      <c r="O156" s="342"/>
      <c r="P156" s="344"/>
      <c r="Q156" s="344"/>
      <c r="R156" s="344"/>
      <c r="S156" s="344"/>
      <c r="T156" s="344"/>
      <c r="U156" s="343"/>
      <c r="V156" s="342"/>
      <c r="W156" s="342"/>
      <c r="X156" s="342"/>
      <c r="Y156" s="345"/>
      <c r="Z156" s="340"/>
      <c r="AA156" s="340">
        <v>6</v>
      </c>
      <c r="AB156" s="345"/>
      <c r="AC156" s="340"/>
      <c r="AD156" s="340"/>
      <c r="AE156" s="345"/>
      <c r="AF156" s="340"/>
      <c r="AG156" s="340">
        <v>12</v>
      </c>
      <c r="AH156" s="345"/>
      <c r="AI156" s="340"/>
      <c r="AJ156" s="342"/>
      <c r="AK156" s="345"/>
      <c r="AL156" s="342"/>
      <c r="AM156" s="340"/>
      <c r="AN156" s="250" t="s">
        <v>187</v>
      </c>
      <c r="AO156" s="342">
        <v>6</v>
      </c>
      <c r="AP156" s="342" t="s">
        <v>180</v>
      </c>
      <c r="AQ156" s="342">
        <f>AO156</f>
        <v>6</v>
      </c>
      <c r="AR156" s="344"/>
      <c r="AS156" s="342"/>
      <c r="AT156" s="342"/>
      <c r="AU156" s="342"/>
      <c r="AV156" s="344"/>
      <c r="AW156" s="342"/>
      <c r="AX156" s="342"/>
      <c r="AY156" s="342"/>
      <c r="AZ156" s="344"/>
      <c r="BA156" s="346"/>
      <c r="BB156" s="346"/>
      <c r="BC156" s="346"/>
      <c r="BD156" s="346"/>
      <c r="BE156" s="345">
        <v>1</v>
      </c>
      <c r="BF156" s="345">
        <v>1</v>
      </c>
      <c r="BG156" s="345">
        <v>1</v>
      </c>
      <c r="BH156" s="345">
        <v>1</v>
      </c>
      <c r="BI156" s="345"/>
      <c r="BJ156" s="345"/>
      <c r="BK156" s="340">
        <v>1</v>
      </c>
      <c r="BL156" s="345">
        <v>1</v>
      </c>
      <c r="BM156" s="345">
        <v>1</v>
      </c>
      <c r="BN156" s="347">
        <v>1</v>
      </c>
    </row>
    <row r="157" spans="1:66" ht="12">
      <c r="A157" s="340">
        <f t="shared" si="23"/>
        <v>25</v>
      </c>
      <c r="B157" s="341" t="s">
        <v>53</v>
      </c>
      <c r="C157" s="340">
        <v>11</v>
      </c>
      <c r="D157" s="340"/>
      <c r="E157" s="342">
        <f t="shared" si="21"/>
        <v>114.39</v>
      </c>
      <c r="F157" s="342">
        <f t="shared" si="22"/>
        <v>7.125</v>
      </c>
      <c r="G157" s="342"/>
      <c r="H157" s="344">
        <v>0.09</v>
      </c>
      <c r="I157" s="342">
        <f>H157*475</f>
        <v>42.75</v>
      </c>
      <c r="J157" s="344">
        <v>0.015</v>
      </c>
      <c r="K157" s="342">
        <f>J157*475</f>
        <v>7.125</v>
      </c>
      <c r="L157" s="344">
        <v>0.199</v>
      </c>
      <c r="M157" s="344">
        <f>L157*360</f>
        <v>71.64</v>
      </c>
      <c r="N157" s="343"/>
      <c r="O157" s="342"/>
      <c r="P157" s="344"/>
      <c r="Q157" s="344"/>
      <c r="R157" s="344"/>
      <c r="S157" s="344"/>
      <c r="T157" s="344"/>
      <c r="U157" s="343"/>
      <c r="V157" s="342"/>
      <c r="W157" s="342"/>
      <c r="X157" s="342"/>
      <c r="Y157" s="345"/>
      <c r="Z157" s="340"/>
      <c r="AA157" s="340"/>
      <c r="AB157" s="345"/>
      <c r="AC157" s="340"/>
      <c r="AD157" s="340"/>
      <c r="AE157" s="345"/>
      <c r="AF157" s="340"/>
      <c r="AG157" s="340">
        <v>36</v>
      </c>
      <c r="AH157" s="345">
        <v>36</v>
      </c>
      <c r="AI157" s="340"/>
      <c r="AJ157" s="342"/>
      <c r="AK157" s="345"/>
      <c r="AL157" s="342"/>
      <c r="AM157" s="340"/>
      <c r="AN157" s="250"/>
      <c r="AO157" s="342"/>
      <c r="AP157" s="342"/>
      <c r="AQ157" s="342"/>
      <c r="AR157" s="344"/>
      <c r="AS157" s="342"/>
      <c r="AT157" s="342"/>
      <c r="AU157" s="342"/>
      <c r="AV157" s="344"/>
      <c r="AW157" s="342"/>
      <c r="AX157" s="342"/>
      <c r="AY157" s="342"/>
      <c r="AZ157" s="344"/>
      <c r="BA157" s="342"/>
      <c r="BB157" s="346"/>
      <c r="BC157" s="346"/>
      <c r="BD157" s="346"/>
      <c r="BE157" s="345"/>
      <c r="BF157" s="345"/>
      <c r="BG157" s="345">
        <v>8</v>
      </c>
      <c r="BH157" s="345">
        <v>8</v>
      </c>
      <c r="BI157" s="345"/>
      <c r="BJ157" s="345"/>
      <c r="BK157" s="340">
        <v>1</v>
      </c>
      <c r="BL157" s="340">
        <v>1</v>
      </c>
      <c r="BM157" s="345">
        <v>1</v>
      </c>
      <c r="BN157" s="347"/>
    </row>
    <row r="158" spans="1:66" ht="24">
      <c r="A158" s="340">
        <f t="shared" si="23"/>
        <v>26</v>
      </c>
      <c r="B158" s="341" t="s">
        <v>53</v>
      </c>
      <c r="C158" s="340">
        <v>15</v>
      </c>
      <c r="D158" s="340" t="s">
        <v>41</v>
      </c>
      <c r="E158" s="342">
        <f t="shared" si="21"/>
        <v>6</v>
      </c>
      <c r="F158" s="342">
        <f t="shared" si="22"/>
        <v>6</v>
      </c>
      <c r="G158" s="342"/>
      <c r="H158" s="344"/>
      <c r="I158" s="342"/>
      <c r="J158" s="344"/>
      <c r="K158" s="344"/>
      <c r="L158" s="344"/>
      <c r="M158" s="342"/>
      <c r="N158" s="343"/>
      <c r="O158" s="342"/>
      <c r="P158" s="344"/>
      <c r="Q158" s="344"/>
      <c r="R158" s="344"/>
      <c r="S158" s="344"/>
      <c r="T158" s="344"/>
      <c r="U158" s="343"/>
      <c r="V158" s="342"/>
      <c r="W158" s="342"/>
      <c r="X158" s="342"/>
      <c r="Y158" s="345"/>
      <c r="Z158" s="340"/>
      <c r="AA158" s="340"/>
      <c r="AB158" s="345"/>
      <c r="AC158" s="340"/>
      <c r="AD158" s="340"/>
      <c r="AE158" s="345"/>
      <c r="AF158" s="340"/>
      <c r="AG158" s="340">
        <v>8</v>
      </c>
      <c r="AH158" s="345">
        <v>8</v>
      </c>
      <c r="AI158" s="340"/>
      <c r="AJ158" s="342"/>
      <c r="AK158" s="345"/>
      <c r="AL158" s="342"/>
      <c r="AM158" s="340"/>
      <c r="AN158" s="250" t="s">
        <v>187</v>
      </c>
      <c r="AO158" s="342">
        <v>6</v>
      </c>
      <c r="AP158" s="344" t="s">
        <v>180</v>
      </c>
      <c r="AQ158" s="342">
        <f>AO158</f>
        <v>6</v>
      </c>
      <c r="AR158" s="344"/>
      <c r="AS158" s="342"/>
      <c r="AT158" s="342"/>
      <c r="AU158" s="342"/>
      <c r="AV158" s="344"/>
      <c r="AW158" s="342"/>
      <c r="AX158" s="342"/>
      <c r="AY158" s="342"/>
      <c r="AZ158" s="344"/>
      <c r="BA158" s="346"/>
      <c r="BB158" s="346"/>
      <c r="BC158" s="346"/>
      <c r="BD158" s="346"/>
      <c r="BE158" s="345">
        <v>1</v>
      </c>
      <c r="BF158" s="345">
        <v>1</v>
      </c>
      <c r="BG158" s="345">
        <v>1</v>
      </c>
      <c r="BH158" s="345">
        <v>1</v>
      </c>
      <c r="BI158" s="345"/>
      <c r="BJ158" s="345"/>
      <c r="BK158" s="340">
        <v>1</v>
      </c>
      <c r="BL158" s="340">
        <v>1</v>
      </c>
      <c r="BM158" s="345">
        <v>1</v>
      </c>
      <c r="BN158" s="347">
        <v>1</v>
      </c>
    </row>
    <row r="159" spans="1:66" ht="12">
      <c r="A159" s="340">
        <f t="shared" si="23"/>
        <v>27</v>
      </c>
      <c r="B159" s="341" t="s">
        <v>53</v>
      </c>
      <c r="C159" s="340">
        <v>15</v>
      </c>
      <c r="D159" s="340"/>
      <c r="E159" s="342">
        <f t="shared" si="21"/>
        <v>0</v>
      </c>
      <c r="F159" s="342">
        <f t="shared" si="22"/>
        <v>0</v>
      </c>
      <c r="G159" s="342"/>
      <c r="H159" s="344"/>
      <c r="I159" s="342"/>
      <c r="J159" s="344"/>
      <c r="K159" s="344"/>
      <c r="L159" s="344"/>
      <c r="M159" s="342"/>
      <c r="N159" s="343"/>
      <c r="O159" s="342"/>
      <c r="P159" s="344"/>
      <c r="Q159" s="344"/>
      <c r="R159" s="344"/>
      <c r="S159" s="344"/>
      <c r="T159" s="344"/>
      <c r="U159" s="343"/>
      <c r="V159" s="342"/>
      <c r="W159" s="342"/>
      <c r="X159" s="342"/>
      <c r="Y159" s="345"/>
      <c r="Z159" s="340"/>
      <c r="AA159" s="340">
        <v>1</v>
      </c>
      <c r="AB159" s="345"/>
      <c r="AC159" s="340"/>
      <c r="AD159" s="340"/>
      <c r="AE159" s="345"/>
      <c r="AF159" s="340"/>
      <c r="AG159" s="340">
        <v>8</v>
      </c>
      <c r="AH159" s="345">
        <v>8</v>
      </c>
      <c r="AI159" s="340"/>
      <c r="AJ159" s="342"/>
      <c r="AK159" s="345"/>
      <c r="AL159" s="342"/>
      <c r="AM159" s="340"/>
      <c r="AN159" s="250"/>
      <c r="AO159" s="342"/>
      <c r="AP159" s="344"/>
      <c r="AQ159" s="342"/>
      <c r="AR159" s="344"/>
      <c r="AS159" s="342"/>
      <c r="AT159" s="342"/>
      <c r="AU159" s="342"/>
      <c r="AV159" s="344"/>
      <c r="AW159" s="342"/>
      <c r="AX159" s="342"/>
      <c r="AY159" s="342"/>
      <c r="AZ159" s="344"/>
      <c r="BA159" s="346"/>
      <c r="BB159" s="346"/>
      <c r="BC159" s="346"/>
      <c r="BD159" s="346"/>
      <c r="BE159" s="345">
        <v>1</v>
      </c>
      <c r="BF159" s="345">
        <v>1</v>
      </c>
      <c r="BG159" s="345">
        <v>1</v>
      </c>
      <c r="BH159" s="345">
        <v>1</v>
      </c>
      <c r="BI159" s="345"/>
      <c r="BJ159" s="345"/>
      <c r="BK159" s="340"/>
      <c r="BL159" s="340">
        <v>1</v>
      </c>
      <c r="BM159" s="345">
        <v>1</v>
      </c>
      <c r="BN159" s="347">
        <v>1</v>
      </c>
    </row>
    <row r="160" spans="1:66" ht="24">
      <c r="A160" s="340">
        <f t="shared" si="23"/>
        <v>28</v>
      </c>
      <c r="B160" s="341" t="s">
        <v>53</v>
      </c>
      <c r="C160" s="340">
        <v>17</v>
      </c>
      <c r="D160" s="340"/>
      <c r="E160" s="342">
        <f t="shared" si="21"/>
        <v>81.07</v>
      </c>
      <c r="F160" s="342">
        <f t="shared" si="22"/>
        <v>27.07</v>
      </c>
      <c r="G160" s="342"/>
      <c r="H160" s="344">
        <v>0.12</v>
      </c>
      <c r="I160" s="342">
        <f>H160*475</f>
        <v>57</v>
      </c>
      <c r="J160" s="344"/>
      <c r="K160" s="342"/>
      <c r="L160" s="344">
        <v>0.062</v>
      </c>
      <c r="M160" s="344">
        <f>L160*360</f>
        <v>22.32</v>
      </c>
      <c r="N160" s="343">
        <v>0.062</v>
      </c>
      <c r="O160" s="342">
        <f>N160*360</f>
        <v>22.32</v>
      </c>
      <c r="P160" s="344"/>
      <c r="Q160" s="344"/>
      <c r="R160" s="344"/>
      <c r="S160" s="344"/>
      <c r="T160" s="344"/>
      <c r="U160" s="343"/>
      <c r="V160" s="342"/>
      <c r="W160" s="342"/>
      <c r="X160" s="342"/>
      <c r="Y160" s="345"/>
      <c r="Z160" s="340"/>
      <c r="AA160" s="340">
        <v>1</v>
      </c>
      <c r="AB160" s="345"/>
      <c r="AC160" s="340"/>
      <c r="AD160" s="340"/>
      <c r="AE160" s="345"/>
      <c r="AF160" s="340"/>
      <c r="AG160" s="340">
        <v>52</v>
      </c>
      <c r="AH160" s="345">
        <v>52</v>
      </c>
      <c r="AI160" s="340"/>
      <c r="AJ160" s="342"/>
      <c r="AK160" s="345"/>
      <c r="AL160" s="342"/>
      <c r="AM160" s="340"/>
      <c r="AN160" s="250" t="s">
        <v>155</v>
      </c>
      <c r="AO160" s="342">
        <f>7*0.25</f>
        <v>1.75</v>
      </c>
      <c r="AP160" s="250" t="s">
        <v>188</v>
      </c>
      <c r="AQ160" s="342">
        <f>19*0.25</f>
        <v>4.75</v>
      </c>
      <c r="AR160" s="344"/>
      <c r="AS160" s="342"/>
      <c r="AT160" s="342"/>
      <c r="AU160" s="342"/>
      <c r="AV160" s="344"/>
      <c r="AW160" s="342"/>
      <c r="AX160" s="342"/>
      <c r="AY160" s="342"/>
      <c r="AZ160" s="344"/>
      <c r="BA160" s="346"/>
      <c r="BB160" s="346"/>
      <c r="BC160" s="346"/>
      <c r="BD160" s="346"/>
      <c r="BE160" s="345"/>
      <c r="BF160" s="345"/>
      <c r="BG160" s="345">
        <v>8</v>
      </c>
      <c r="BH160" s="345">
        <v>8</v>
      </c>
      <c r="BI160" s="345"/>
      <c r="BJ160" s="345"/>
      <c r="BK160" s="340">
        <v>1</v>
      </c>
      <c r="BL160" s="340">
        <v>1</v>
      </c>
      <c r="BM160" s="345">
        <v>1</v>
      </c>
      <c r="BN160" s="347"/>
    </row>
    <row r="161" spans="1:66" ht="12">
      <c r="A161" s="340">
        <f t="shared" si="23"/>
        <v>29</v>
      </c>
      <c r="B161" s="341" t="s">
        <v>78</v>
      </c>
      <c r="C161" s="340">
        <v>1</v>
      </c>
      <c r="D161" s="340"/>
      <c r="E161" s="342">
        <f t="shared" si="21"/>
        <v>29.700000000000003</v>
      </c>
      <c r="F161" s="342">
        <f t="shared" si="22"/>
        <v>36.54</v>
      </c>
      <c r="G161" s="342"/>
      <c r="H161" s="344"/>
      <c r="I161" s="342"/>
      <c r="J161" s="344"/>
      <c r="K161" s="342"/>
      <c r="L161" s="372">
        <v>0.0825</v>
      </c>
      <c r="M161" s="344">
        <f>L161*360</f>
        <v>29.700000000000003</v>
      </c>
      <c r="N161" s="343">
        <v>0.1015</v>
      </c>
      <c r="O161" s="342">
        <f>N161*360</f>
        <v>36.54</v>
      </c>
      <c r="P161" s="344"/>
      <c r="Q161" s="344"/>
      <c r="R161" s="344"/>
      <c r="S161" s="344"/>
      <c r="T161" s="344"/>
      <c r="U161" s="343"/>
      <c r="V161" s="342"/>
      <c r="W161" s="342"/>
      <c r="X161" s="342"/>
      <c r="Y161" s="345"/>
      <c r="Z161" s="340"/>
      <c r="AA161" s="340">
        <v>1</v>
      </c>
      <c r="AB161" s="345"/>
      <c r="AC161" s="340"/>
      <c r="AD161" s="340"/>
      <c r="AE161" s="345"/>
      <c r="AF161" s="340"/>
      <c r="AG161" s="340">
        <v>56</v>
      </c>
      <c r="AH161" s="345">
        <v>56</v>
      </c>
      <c r="AI161" s="340"/>
      <c r="AJ161" s="342"/>
      <c r="AK161" s="345"/>
      <c r="AL161" s="342"/>
      <c r="AM161" s="340"/>
      <c r="AN161" s="250"/>
      <c r="AO161" s="342"/>
      <c r="AP161" s="342"/>
      <c r="AQ161" s="342"/>
      <c r="AR161" s="344"/>
      <c r="AS161" s="342"/>
      <c r="AT161" s="342"/>
      <c r="AU161" s="342"/>
      <c r="AV161" s="344"/>
      <c r="AW161" s="342"/>
      <c r="AX161" s="342"/>
      <c r="AY161" s="342"/>
      <c r="AZ161" s="344"/>
      <c r="BA161" s="346"/>
      <c r="BB161" s="346"/>
      <c r="BC161" s="346"/>
      <c r="BD161" s="346"/>
      <c r="BE161" s="345"/>
      <c r="BF161" s="345"/>
      <c r="BG161" s="345">
        <v>9</v>
      </c>
      <c r="BH161" s="345">
        <v>9</v>
      </c>
      <c r="BI161" s="345"/>
      <c r="BJ161" s="345"/>
      <c r="BK161" s="340">
        <v>1</v>
      </c>
      <c r="BL161" s="340">
        <v>1</v>
      </c>
      <c r="BM161" s="345">
        <v>1</v>
      </c>
      <c r="BN161" s="347"/>
    </row>
    <row r="162" spans="1:66" ht="36">
      <c r="A162" s="340">
        <f t="shared" si="23"/>
        <v>30</v>
      </c>
      <c r="B162" s="341" t="s">
        <v>78</v>
      </c>
      <c r="C162" s="340">
        <v>2</v>
      </c>
      <c r="D162" s="340"/>
      <c r="E162" s="342">
        <f t="shared" si="21"/>
        <v>43.147999999999996</v>
      </c>
      <c r="F162" s="342">
        <f t="shared" si="22"/>
        <v>91.907</v>
      </c>
      <c r="G162" s="342"/>
      <c r="H162" s="344"/>
      <c r="I162" s="342"/>
      <c r="J162" s="344"/>
      <c r="K162" s="342"/>
      <c r="L162" s="344">
        <v>0.024</v>
      </c>
      <c r="M162" s="344">
        <f>L162*360</f>
        <v>8.64</v>
      </c>
      <c r="N162" s="343">
        <v>0.024</v>
      </c>
      <c r="O162" s="342">
        <f>N162*360</f>
        <v>8.64</v>
      </c>
      <c r="P162" s="344"/>
      <c r="Q162" s="344"/>
      <c r="R162" s="344"/>
      <c r="S162" s="344"/>
      <c r="T162" s="344"/>
      <c r="U162" s="343"/>
      <c r="V162" s="342"/>
      <c r="W162" s="342"/>
      <c r="X162" s="342"/>
      <c r="Y162" s="345"/>
      <c r="Z162" s="340"/>
      <c r="AA162" s="340">
        <v>4</v>
      </c>
      <c r="AB162" s="345"/>
      <c r="AC162" s="340"/>
      <c r="AD162" s="340"/>
      <c r="AE162" s="345"/>
      <c r="AF162" s="340"/>
      <c r="AG162" s="340">
        <v>38</v>
      </c>
      <c r="AH162" s="345">
        <v>38</v>
      </c>
      <c r="AI162" s="340"/>
      <c r="AJ162" s="342"/>
      <c r="AK162" s="345"/>
      <c r="AL162" s="342"/>
      <c r="AM162" s="340"/>
      <c r="AN162" s="250" t="s">
        <v>156</v>
      </c>
      <c r="AO162" s="342">
        <f>7.752*4+0.25*14</f>
        <v>34.507999999999996</v>
      </c>
      <c r="AP162" s="250" t="s">
        <v>189</v>
      </c>
      <c r="AQ162" s="342">
        <f>7.752*6+0.25*30</f>
        <v>54.012</v>
      </c>
      <c r="AR162" s="344"/>
      <c r="AS162" s="342"/>
      <c r="AT162" s="344">
        <v>0.16</v>
      </c>
      <c r="AU162" s="342">
        <v>29.255</v>
      </c>
      <c r="AV162" s="344"/>
      <c r="AW162" s="342"/>
      <c r="AX162" s="342"/>
      <c r="AY162" s="342"/>
      <c r="AZ162" s="344"/>
      <c r="BA162" s="346"/>
      <c r="BB162" s="346"/>
      <c r="BC162" s="346"/>
      <c r="BD162" s="346"/>
      <c r="BE162" s="345">
        <v>1</v>
      </c>
      <c r="BF162" s="345">
        <v>1</v>
      </c>
      <c r="BG162" s="345">
        <v>4</v>
      </c>
      <c r="BH162" s="345">
        <v>4</v>
      </c>
      <c r="BI162" s="345"/>
      <c r="BJ162" s="345"/>
      <c r="BK162" s="340">
        <v>1</v>
      </c>
      <c r="BL162" s="340">
        <v>1</v>
      </c>
      <c r="BM162" s="345">
        <v>1</v>
      </c>
      <c r="BN162" s="347">
        <v>1</v>
      </c>
    </row>
    <row r="163" spans="1:66" ht="12">
      <c r="A163" s="340">
        <f t="shared" si="23"/>
        <v>31</v>
      </c>
      <c r="B163" s="341" t="s">
        <v>78</v>
      </c>
      <c r="C163" s="340">
        <v>5</v>
      </c>
      <c r="D163" s="340"/>
      <c r="E163" s="342">
        <f t="shared" si="21"/>
        <v>99.68</v>
      </c>
      <c r="F163" s="342">
        <f t="shared" si="22"/>
        <v>52.18000000000001</v>
      </c>
      <c r="G163" s="342"/>
      <c r="H163" s="344">
        <v>0.1</v>
      </c>
      <c r="I163" s="342">
        <f>H163*475</f>
        <v>47.5</v>
      </c>
      <c r="J163" s="344"/>
      <c r="K163" s="342"/>
      <c r="L163" s="344">
        <v>0.0205</v>
      </c>
      <c r="M163" s="344">
        <f>L163*360</f>
        <v>7.38</v>
      </c>
      <c r="N163" s="343">
        <v>0.0205</v>
      </c>
      <c r="O163" s="342">
        <f>N163*360</f>
        <v>7.38</v>
      </c>
      <c r="P163" s="344">
        <v>0.128</v>
      </c>
      <c r="Q163" s="344">
        <f>P163*350</f>
        <v>44.800000000000004</v>
      </c>
      <c r="R163" s="344">
        <v>0.128</v>
      </c>
      <c r="S163" s="344">
        <f>R163*350</f>
        <v>44.800000000000004</v>
      </c>
      <c r="T163" s="344"/>
      <c r="U163" s="343"/>
      <c r="V163" s="342"/>
      <c r="W163" s="342"/>
      <c r="X163" s="342"/>
      <c r="Y163" s="345"/>
      <c r="Z163" s="340"/>
      <c r="AA163" s="340"/>
      <c r="AB163" s="345"/>
      <c r="AC163" s="340"/>
      <c r="AD163" s="340"/>
      <c r="AE163" s="345"/>
      <c r="AF163" s="340"/>
      <c r="AG163" s="340">
        <v>28</v>
      </c>
      <c r="AH163" s="345">
        <v>28</v>
      </c>
      <c r="AI163" s="340"/>
      <c r="AJ163" s="342"/>
      <c r="AK163" s="345"/>
      <c r="AL163" s="342"/>
      <c r="AM163" s="340"/>
      <c r="AN163" s="250"/>
      <c r="AO163" s="342"/>
      <c r="AP163" s="342"/>
      <c r="AQ163" s="342"/>
      <c r="AR163" s="344"/>
      <c r="AS163" s="342"/>
      <c r="AT163" s="343"/>
      <c r="AU163" s="342"/>
      <c r="AV163" s="344"/>
      <c r="AW163" s="342"/>
      <c r="AX163" s="342"/>
      <c r="AY163" s="342"/>
      <c r="AZ163" s="344"/>
      <c r="BA163" s="346"/>
      <c r="BB163" s="346"/>
      <c r="BC163" s="346"/>
      <c r="BD163" s="346"/>
      <c r="BE163" s="345"/>
      <c r="BF163" s="345"/>
      <c r="BG163" s="345">
        <v>8</v>
      </c>
      <c r="BH163" s="345">
        <v>8</v>
      </c>
      <c r="BI163" s="345"/>
      <c r="BJ163" s="345"/>
      <c r="BK163" s="340">
        <v>1</v>
      </c>
      <c r="BL163" s="340">
        <v>1</v>
      </c>
      <c r="BM163" s="345">
        <v>1</v>
      </c>
      <c r="BN163" s="347"/>
    </row>
    <row r="164" spans="1:66" ht="12">
      <c r="A164" s="340">
        <f t="shared" si="23"/>
        <v>32</v>
      </c>
      <c r="B164" s="341" t="s">
        <v>78</v>
      </c>
      <c r="C164" s="340">
        <v>7</v>
      </c>
      <c r="D164" s="340"/>
      <c r="E164" s="342">
        <f t="shared" si="21"/>
        <v>8.64</v>
      </c>
      <c r="F164" s="342">
        <f t="shared" si="22"/>
        <v>0</v>
      </c>
      <c r="G164" s="342"/>
      <c r="H164" s="344"/>
      <c r="I164" s="342"/>
      <c r="J164" s="344"/>
      <c r="K164" s="344"/>
      <c r="L164" s="344">
        <v>0.024</v>
      </c>
      <c r="M164" s="344">
        <f>L164*360</f>
        <v>8.64</v>
      </c>
      <c r="N164" s="343"/>
      <c r="O164" s="342"/>
      <c r="P164" s="344"/>
      <c r="Q164" s="344"/>
      <c r="R164" s="344"/>
      <c r="S164" s="344"/>
      <c r="T164" s="344"/>
      <c r="U164" s="343"/>
      <c r="V164" s="342"/>
      <c r="W164" s="342"/>
      <c r="X164" s="342"/>
      <c r="Y164" s="345"/>
      <c r="Z164" s="340"/>
      <c r="AA164" s="340">
        <v>1</v>
      </c>
      <c r="AB164" s="345"/>
      <c r="AC164" s="340"/>
      <c r="AD164" s="340"/>
      <c r="AE164" s="345"/>
      <c r="AF164" s="340"/>
      <c r="AG164" s="340">
        <v>4</v>
      </c>
      <c r="AH164" s="345"/>
      <c r="AI164" s="340"/>
      <c r="AJ164" s="342"/>
      <c r="AK164" s="345"/>
      <c r="AL164" s="342"/>
      <c r="AM164" s="340"/>
      <c r="AN164" s="250"/>
      <c r="AO164" s="342"/>
      <c r="AP164" s="342"/>
      <c r="AQ164" s="342"/>
      <c r="AR164" s="344"/>
      <c r="AS164" s="342"/>
      <c r="AT164" s="342"/>
      <c r="AU164" s="342"/>
      <c r="AV164" s="344"/>
      <c r="AW164" s="342"/>
      <c r="AX164" s="342"/>
      <c r="AY164" s="342"/>
      <c r="AZ164" s="344"/>
      <c r="BA164" s="346"/>
      <c r="BB164" s="346"/>
      <c r="BC164" s="346"/>
      <c r="BD164" s="346"/>
      <c r="BE164" s="345"/>
      <c r="BF164" s="345"/>
      <c r="BG164" s="345">
        <v>10</v>
      </c>
      <c r="BH164" s="345">
        <v>10</v>
      </c>
      <c r="BI164" s="345"/>
      <c r="BJ164" s="345"/>
      <c r="BK164" s="340">
        <v>1</v>
      </c>
      <c r="BL164" s="340">
        <v>1</v>
      </c>
      <c r="BM164" s="345">
        <v>1</v>
      </c>
      <c r="BN164" s="347"/>
    </row>
    <row r="165" spans="1:66" ht="12">
      <c r="A165" s="340">
        <f t="shared" si="23"/>
        <v>33</v>
      </c>
      <c r="B165" s="341" t="s">
        <v>78</v>
      </c>
      <c r="C165" s="340">
        <v>9</v>
      </c>
      <c r="D165" s="340"/>
      <c r="E165" s="342">
        <f t="shared" si="21"/>
        <v>28.5</v>
      </c>
      <c r="F165" s="342">
        <f t="shared" si="22"/>
        <v>0</v>
      </c>
      <c r="G165" s="342"/>
      <c r="H165" s="344">
        <v>0.06</v>
      </c>
      <c r="I165" s="342">
        <f>H165*475</f>
        <v>28.5</v>
      </c>
      <c r="J165" s="344"/>
      <c r="K165" s="342"/>
      <c r="L165" s="344"/>
      <c r="M165" s="342"/>
      <c r="N165" s="343"/>
      <c r="O165" s="342"/>
      <c r="P165" s="344"/>
      <c r="Q165" s="344"/>
      <c r="R165" s="344"/>
      <c r="S165" s="344"/>
      <c r="T165" s="344"/>
      <c r="U165" s="343"/>
      <c r="V165" s="342"/>
      <c r="W165" s="342"/>
      <c r="X165" s="342"/>
      <c r="Y165" s="345"/>
      <c r="Z165" s="340"/>
      <c r="AA165" s="340">
        <v>1</v>
      </c>
      <c r="AB165" s="345"/>
      <c r="AC165" s="340"/>
      <c r="AD165" s="340"/>
      <c r="AE165" s="345"/>
      <c r="AF165" s="340"/>
      <c r="AG165" s="340">
        <v>60</v>
      </c>
      <c r="AH165" s="345">
        <v>60</v>
      </c>
      <c r="AI165" s="340"/>
      <c r="AJ165" s="342"/>
      <c r="AK165" s="345"/>
      <c r="AL165" s="342"/>
      <c r="AM165" s="340"/>
      <c r="AN165" s="250"/>
      <c r="AO165" s="342"/>
      <c r="AP165" s="342"/>
      <c r="AQ165" s="342"/>
      <c r="AR165" s="344"/>
      <c r="AS165" s="342"/>
      <c r="AT165" s="342"/>
      <c r="AU165" s="342"/>
      <c r="AV165" s="344"/>
      <c r="AW165" s="342"/>
      <c r="AX165" s="342"/>
      <c r="AY165" s="342"/>
      <c r="AZ165" s="344"/>
      <c r="BA165" s="346"/>
      <c r="BB165" s="346"/>
      <c r="BC165" s="346"/>
      <c r="BD165" s="346"/>
      <c r="BE165" s="345"/>
      <c r="BF165" s="345"/>
      <c r="BG165" s="345">
        <v>10</v>
      </c>
      <c r="BH165" s="345">
        <v>10</v>
      </c>
      <c r="BI165" s="345"/>
      <c r="BJ165" s="345"/>
      <c r="BK165" s="340">
        <v>1</v>
      </c>
      <c r="BL165" s="340">
        <v>1</v>
      </c>
      <c r="BM165" s="345">
        <v>1</v>
      </c>
      <c r="BN165" s="347"/>
    </row>
    <row r="166" spans="1:66" ht="12">
      <c r="A166" s="340">
        <f t="shared" si="23"/>
        <v>34</v>
      </c>
      <c r="B166" s="341" t="s">
        <v>79</v>
      </c>
      <c r="C166" s="340">
        <v>4</v>
      </c>
      <c r="D166" s="340"/>
      <c r="E166" s="342">
        <f t="shared" si="21"/>
        <v>9.9</v>
      </c>
      <c r="F166" s="342">
        <f t="shared" si="22"/>
        <v>9.9</v>
      </c>
      <c r="G166" s="342"/>
      <c r="H166" s="344"/>
      <c r="I166" s="342"/>
      <c r="J166" s="344"/>
      <c r="K166" s="344"/>
      <c r="L166" s="344">
        <v>0.0275</v>
      </c>
      <c r="M166" s="344">
        <f>L166*360</f>
        <v>9.9</v>
      </c>
      <c r="N166" s="343">
        <v>0.0275</v>
      </c>
      <c r="O166" s="342">
        <f>N166*360</f>
        <v>9.9</v>
      </c>
      <c r="P166" s="344"/>
      <c r="Q166" s="344"/>
      <c r="R166" s="344"/>
      <c r="S166" s="344"/>
      <c r="T166" s="344"/>
      <c r="U166" s="343"/>
      <c r="V166" s="342"/>
      <c r="W166" s="342"/>
      <c r="X166" s="342"/>
      <c r="Y166" s="345"/>
      <c r="Z166" s="340"/>
      <c r="AA166" s="340"/>
      <c r="AB166" s="345"/>
      <c r="AC166" s="340"/>
      <c r="AD166" s="340"/>
      <c r="AE166" s="345"/>
      <c r="AF166" s="340"/>
      <c r="AG166" s="340">
        <v>12</v>
      </c>
      <c r="AH166" s="345">
        <v>12</v>
      </c>
      <c r="AI166" s="340"/>
      <c r="AJ166" s="342"/>
      <c r="AK166" s="345"/>
      <c r="AL166" s="342"/>
      <c r="AM166" s="340"/>
      <c r="AN166" s="250"/>
      <c r="AO166" s="342"/>
      <c r="AP166" s="342"/>
      <c r="AQ166" s="342"/>
      <c r="AR166" s="344"/>
      <c r="AS166" s="342"/>
      <c r="AT166" s="344"/>
      <c r="AU166" s="342"/>
      <c r="AV166" s="344"/>
      <c r="AW166" s="342"/>
      <c r="AX166" s="342"/>
      <c r="AY166" s="342"/>
      <c r="AZ166" s="344"/>
      <c r="BA166" s="346"/>
      <c r="BB166" s="346"/>
      <c r="BC166" s="346"/>
      <c r="BD166" s="346"/>
      <c r="BE166" s="345"/>
      <c r="BF166" s="345"/>
      <c r="BG166" s="345">
        <v>2</v>
      </c>
      <c r="BH166" s="345">
        <v>2</v>
      </c>
      <c r="BI166" s="345"/>
      <c r="BJ166" s="345"/>
      <c r="BK166" s="340">
        <v>1</v>
      </c>
      <c r="BL166" s="340">
        <v>1</v>
      </c>
      <c r="BM166" s="345">
        <v>1</v>
      </c>
      <c r="BN166" s="347"/>
    </row>
    <row r="167" spans="1:66" ht="24">
      <c r="A167" s="340">
        <f t="shared" si="23"/>
        <v>35</v>
      </c>
      <c r="B167" s="341" t="s">
        <v>57</v>
      </c>
      <c r="C167" s="340">
        <v>43</v>
      </c>
      <c r="D167" s="340"/>
      <c r="E167" s="342">
        <f t="shared" si="21"/>
        <v>110.64</v>
      </c>
      <c r="F167" s="342">
        <f t="shared" si="22"/>
        <v>110.64</v>
      </c>
      <c r="G167" s="342"/>
      <c r="H167" s="344"/>
      <c r="I167" s="342"/>
      <c r="J167" s="344"/>
      <c r="K167" s="344"/>
      <c r="L167" s="344"/>
      <c r="M167" s="342"/>
      <c r="N167" s="343"/>
      <c r="O167" s="342"/>
      <c r="P167" s="344"/>
      <c r="Q167" s="344"/>
      <c r="R167" s="344"/>
      <c r="S167" s="344"/>
      <c r="T167" s="344"/>
      <c r="U167" s="343"/>
      <c r="V167" s="342"/>
      <c r="W167" s="342"/>
      <c r="X167" s="342"/>
      <c r="Y167" s="345"/>
      <c r="Z167" s="340"/>
      <c r="AA167" s="340"/>
      <c r="AB167" s="345"/>
      <c r="AC167" s="340"/>
      <c r="AD167" s="340"/>
      <c r="AE167" s="345"/>
      <c r="AF167" s="340"/>
      <c r="AG167" s="340">
        <v>25</v>
      </c>
      <c r="AH167" s="345">
        <v>25</v>
      </c>
      <c r="AI167" s="340"/>
      <c r="AJ167" s="342"/>
      <c r="AK167" s="345"/>
      <c r="AL167" s="342"/>
      <c r="AM167" s="340"/>
      <c r="AN167" s="250" t="s">
        <v>157</v>
      </c>
      <c r="AO167" s="342">
        <f>6.915*16</f>
        <v>110.64</v>
      </c>
      <c r="AP167" s="344" t="s">
        <v>190</v>
      </c>
      <c r="AQ167" s="342">
        <f>AO167</f>
        <v>110.64</v>
      </c>
      <c r="AR167" s="344"/>
      <c r="AS167" s="342"/>
      <c r="AT167" s="342"/>
      <c r="AU167" s="342"/>
      <c r="AV167" s="344"/>
      <c r="AW167" s="342"/>
      <c r="AX167" s="342"/>
      <c r="AY167" s="342"/>
      <c r="AZ167" s="344"/>
      <c r="BA167" s="346"/>
      <c r="BB167" s="346"/>
      <c r="BC167" s="346"/>
      <c r="BD167" s="346"/>
      <c r="BE167" s="345"/>
      <c r="BF167" s="345"/>
      <c r="BG167" s="345">
        <v>4</v>
      </c>
      <c r="BH167" s="345">
        <v>4</v>
      </c>
      <c r="BI167" s="345"/>
      <c r="BJ167" s="345"/>
      <c r="BK167" s="340"/>
      <c r="BL167" s="340">
        <v>1</v>
      </c>
      <c r="BM167" s="345">
        <v>1</v>
      </c>
      <c r="BN167" s="347">
        <v>1</v>
      </c>
    </row>
    <row r="168" spans="1:66" ht="12">
      <c r="A168" s="340">
        <f t="shared" si="23"/>
        <v>36</v>
      </c>
      <c r="B168" s="341" t="s">
        <v>57</v>
      </c>
      <c r="C168" s="340">
        <v>45</v>
      </c>
      <c r="D168" s="340" t="s">
        <v>41</v>
      </c>
      <c r="E168" s="342">
        <f t="shared" si="21"/>
        <v>5</v>
      </c>
      <c r="F168" s="342">
        <f t="shared" si="22"/>
        <v>5</v>
      </c>
      <c r="G168" s="342"/>
      <c r="H168" s="344"/>
      <c r="I168" s="342"/>
      <c r="J168" s="344"/>
      <c r="K168" s="344"/>
      <c r="L168" s="344"/>
      <c r="M168" s="342"/>
      <c r="N168" s="343"/>
      <c r="O168" s="342"/>
      <c r="P168" s="344"/>
      <c r="Q168" s="344"/>
      <c r="R168" s="344"/>
      <c r="S168" s="344"/>
      <c r="T168" s="344"/>
      <c r="U168" s="343"/>
      <c r="V168" s="342"/>
      <c r="W168" s="342"/>
      <c r="X168" s="342"/>
      <c r="Y168" s="345"/>
      <c r="Z168" s="340"/>
      <c r="AA168" s="340">
        <v>1</v>
      </c>
      <c r="AB168" s="345">
        <v>1</v>
      </c>
      <c r="AC168" s="340"/>
      <c r="AD168" s="340"/>
      <c r="AE168" s="345"/>
      <c r="AF168" s="340"/>
      <c r="AG168" s="340">
        <v>16</v>
      </c>
      <c r="AH168" s="345">
        <v>16</v>
      </c>
      <c r="AI168" s="340"/>
      <c r="AJ168" s="342"/>
      <c r="AK168" s="345"/>
      <c r="AL168" s="342"/>
      <c r="AM168" s="340"/>
      <c r="AN168" s="250" t="s">
        <v>158</v>
      </c>
      <c r="AO168" s="342">
        <f>20*0.25</f>
        <v>5</v>
      </c>
      <c r="AP168" s="342" t="s">
        <v>191</v>
      </c>
      <c r="AQ168" s="342">
        <f>AO168</f>
        <v>5</v>
      </c>
      <c r="AR168" s="344"/>
      <c r="AS168" s="342"/>
      <c r="AT168" s="342"/>
      <c r="AU168" s="342"/>
      <c r="AV168" s="344"/>
      <c r="AW168" s="342"/>
      <c r="AX168" s="342"/>
      <c r="AY168" s="342"/>
      <c r="AZ168" s="344"/>
      <c r="BA168" s="346"/>
      <c r="BB168" s="346"/>
      <c r="BC168" s="346"/>
      <c r="BD168" s="346"/>
      <c r="BE168" s="345"/>
      <c r="BF168" s="345"/>
      <c r="BG168" s="345">
        <v>1</v>
      </c>
      <c r="BH168" s="345">
        <v>1</v>
      </c>
      <c r="BI168" s="345"/>
      <c r="BJ168" s="345"/>
      <c r="BK168" s="340"/>
      <c r="BL168" s="340">
        <v>1</v>
      </c>
      <c r="BM168" s="345">
        <v>1</v>
      </c>
      <c r="BN168" s="347">
        <v>1</v>
      </c>
    </row>
    <row r="169" spans="1:66" ht="12">
      <c r="A169" s="340">
        <f t="shared" si="23"/>
        <v>37</v>
      </c>
      <c r="B169" s="341" t="s">
        <v>57</v>
      </c>
      <c r="C169" s="340">
        <v>45</v>
      </c>
      <c r="D169" s="340"/>
      <c r="E169" s="342">
        <f t="shared" si="21"/>
        <v>18</v>
      </c>
      <c r="F169" s="342">
        <f t="shared" si="22"/>
        <v>30.612</v>
      </c>
      <c r="G169" s="342"/>
      <c r="H169" s="344"/>
      <c r="I169" s="342"/>
      <c r="J169" s="344">
        <v>0.012</v>
      </c>
      <c r="K169" s="342">
        <f>J169*475</f>
        <v>5.7</v>
      </c>
      <c r="L169" s="344">
        <v>0.05</v>
      </c>
      <c r="M169" s="344">
        <f>L169*360</f>
        <v>18</v>
      </c>
      <c r="N169" s="343">
        <v>0.0692</v>
      </c>
      <c r="O169" s="342">
        <f>N169*360</f>
        <v>24.912</v>
      </c>
      <c r="P169" s="344"/>
      <c r="Q169" s="344"/>
      <c r="R169" s="344"/>
      <c r="S169" s="344"/>
      <c r="T169" s="344"/>
      <c r="U169" s="343"/>
      <c r="V169" s="342"/>
      <c r="W169" s="342"/>
      <c r="X169" s="342"/>
      <c r="Y169" s="345"/>
      <c r="Z169" s="340"/>
      <c r="AA169" s="340"/>
      <c r="AB169" s="345"/>
      <c r="AC169" s="340"/>
      <c r="AD169" s="340"/>
      <c r="AE169" s="345"/>
      <c r="AF169" s="340"/>
      <c r="AG169" s="340"/>
      <c r="AH169" s="345"/>
      <c r="AI169" s="340"/>
      <c r="AJ169" s="342"/>
      <c r="AK169" s="345"/>
      <c r="AL169" s="342"/>
      <c r="AM169" s="340"/>
      <c r="AN169" s="250"/>
      <c r="AO169" s="342"/>
      <c r="AP169" s="342"/>
      <c r="AQ169" s="342"/>
      <c r="AR169" s="344"/>
      <c r="AS169" s="342"/>
      <c r="AT169" s="342"/>
      <c r="AU169" s="342"/>
      <c r="AV169" s="344"/>
      <c r="AW169" s="342"/>
      <c r="AX169" s="342"/>
      <c r="AY169" s="342"/>
      <c r="AZ169" s="344"/>
      <c r="BA169" s="346"/>
      <c r="BB169" s="346"/>
      <c r="BC169" s="346"/>
      <c r="BD169" s="346"/>
      <c r="BE169" s="345"/>
      <c r="BF169" s="345"/>
      <c r="BG169" s="345">
        <v>3</v>
      </c>
      <c r="BH169" s="345">
        <v>3</v>
      </c>
      <c r="BI169" s="345"/>
      <c r="BJ169" s="345"/>
      <c r="BK169" s="340"/>
      <c r="BL169" s="340">
        <v>1</v>
      </c>
      <c r="BM169" s="345">
        <v>1</v>
      </c>
      <c r="BN169" s="347">
        <v>1</v>
      </c>
    </row>
    <row r="170" spans="1:66" ht="12">
      <c r="A170" s="340">
        <f t="shared" si="23"/>
        <v>38</v>
      </c>
      <c r="B170" s="341" t="s">
        <v>57</v>
      </c>
      <c r="C170" s="340">
        <v>47</v>
      </c>
      <c r="D170" s="340"/>
      <c r="E170" s="342">
        <f t="shared" si="21"/>
        <v>0</v>
      </c>
      <c r="F170" s="342">
        <f t="shared" si="22"/>
        <v>1.08</v>
      </c>
      <c r="G170" s="342"/>
      <c r="H170" s="344"/>
      <c r="I170" s="342"/>
      <c r="J170" s="344"/>
      <c r="K170" s="344"/>
      <c r="L170" s="344"/>
      <c r="M170" s="342"/>
      <c r="N170" s="343">
        <v>0.003</v>
      </c>
      <c r="O170" s="342">
        <f>N170*360</f>
        <v>1.08</v>
      </c>
      <c r="P170" s="344"/>
      <c r="Q170" s="344"/>
      <c r="R170" s="344"/>
      <c r="S170" s="344"/>
      <c r="T170" s="344"/>
      <c r="U170" s="343"/>
      <c r="V170" s="342"/>
      <c r="W170" s="342"/>
      <c r="X170" s="342"/>
      <c r="Y170" s="345"/>
      <c r="Z170" s="340"/>
      <c r="AA170" s="340"/>
      <c r="AB170" s="345"/>
      <c r="AC170" s="340"/>
      <c r="AD170" s="340"/>
      <c r="AE170" s="345"/>
      <c r="AF170" s="340"/>
      <c r="AG170" s="340">
        <v>12</v>
      </c>
      <c r="AH170" s="345">
        <v>12</v>
      </c>
      <c r="AI170" s="340"/>
      <c r="AJ170" s="342"/>
      <c r="AK170" s="345"/>
      <c r="AL170" s="342"/>
      <c r="AM170" s="340"/>
      <c r="AN170" s="250"/>
      <c r="AO170" s="342"/>
      <c r="AP170" s="342"/>
      <c r="AQ170" s="342"/>
      <c r="AR170" s="344"/>
      <c r="AS170" s="342"/>
      <c r="AT170" s="342"/>
      <c r="AU170" s="342"/>
      <c r="AV170" s="344"/>
      <c r="AW170" s="342"/>
      <c r="AX170" s="342"/>
      <c r="AY170" s="342"/>
      <c r="AZ170" s="344"/>
      <c r="BA170" s="346"/>
      <c r="BB170" s="346"/>
      <c r="BC170" s="346"/>
      <c r="BD170" s="346"/>
      <c r="BE170" s="345"/>
      <c r="BF170" s="345"/>
      <c r="BG170" s="345">
        <v>4</v>
      </c>
      <c r="BH170" s="345">
        <v>4</v>
      </c>
      <c r="BI170" s="345"/>
      <c r="BJ170" s="345"/>
      <c r="BK170" s="340"/>
      <c r="BL170" s="340">
        <v>1</v>
      </c>
      <c r="BM170" s="345">
        <v>1</v>
      </c>
      <c r="BN170" s="347">
        <v>1</v>
      </c>
    </row>
    <row r="171" spans="1:66" ht="12">
      <c r="A171" s="340">
        <f t="shared" si="23"/>
        <v>39</v>
      </c>
      <c r="B171" s="341" t="s">
        <v>80</v>
      </c>
      <c r="C171" s="340">
        <v>16</v>
      </c>
      <c r="D171" s="340"/>
      <c r="E171" s="342">
        <f t="shared" si="21"/>
        <v>0</v>
      </c>
      <c r="F171" s="342">
        <f t="shared" si="22"/>
        <v>0</v>
      </c>
      <c r="G171" s="342"/>
      <c r="H171" s="344"/>
      <c r="I171" s="342"/>
      <c r="J171" s="344"/>
      <c r="K171" s="342"/>
      <c r="L171" s="344"/>
      <c r="M171" s="342"/>
      <c r="N171" s="343"/>
      <c r="O171" s="342"/>
      <c r="P171" s="344"/>
      <c r="Q171" s="344"/>
      <c r="R171" s="344"/>
      <c r="S171" s="344"/>
      <c r="T171" s="344"/>
      <c r="U171" s="343"/>
      <c r="V171" s="342"/>
      <c r="W171" s="342"/>
      <c r="X171" s="342"/>
      <c r="Y171" s="345"/>
      <c r="Z171" s="340"/>
      <c r="AA171" s="340"/>
      <c r="AB171" s="345"/>
      <c r="AC171" s="340"/>
      <c r="AD171" s="340"/>
      <c r="AE171" s="340"/>
      <c r="AF171" s="340"/>
      <c r="AG171" s="340">
        <v>6</v>
      </c>
      <c r="AH171" s="345">
        <v>6</v>
      </c>
      <c r="AI171" s="340"/>
      <c r="AJ171" s="342"/>
      <c r="AK171" s="345"/>
      <c r="AL171" s="342"/>
      <c r="AM171" s="340"/>
      <c r="AN171" s="250"/>
      <c r="AO171" s="342"/>
      <c r="AP171" s="342"/>
      <c r="AQ171" s="342"/>
      <c r="AR171" s="344"/>
      <c r="AS171" s="342"/>
      <c r="AT171" s="342"/>
      <c r="AU171" s="342"/>
      <c r="AV171" s="344"/>
      <c r="AW171" s="342"/>
      <c r="AX171" s="342"/>
      <c r="AY171" s="342"/>
      <c r="AZ171" s="344"/>
      <c r="BA171" s="346"/>
      <c r="BB171" s="346"/>
      <c r="BC171" s="346"/>
      <c r="BD171" s="346"/>
      <c r="BE171" s="345"/>
      <c r="BF171" s="345"/>
      <c r="BG171" s="345">
        <v>4</v>
      </c>
      <c r="BH171" s="345">
        <v>4</v>
      </c>
      <c r="BI171" s="345"/>
      <c r="BJ171" s="345"/>
      <c r="BK171" s="340"/>
      <c r="BL171" s="340">
        <v>1</v>
      </c>
      <c r="BM171" s="345">
        <v>1</v>
      </c>
      <c r="BN171" s="347">
        <v>1</v>
      </c>
    </row>
    <row r="172" spans="1:66" ht="12">
      <c r="A172" s="340">
        <f t="shared" si="23"/>
        <v>40</v>
      </c>
      <c r="B172" s="341" t="s">
        <v>80</v>
      </c>
      <c r="C172" s="340">
        <v>16</v>
      </c>
      <c r="D172" s="340" t="s">
        <v>40</v>
      </c>
      <c r="E172" s="342">
        <f t="shared" si="21"/>
        <v>0</v>
      </c>
      <c r="F172" s="342">
        <f t="shared" si="22"/>
        <v>0</v>
      </c>
      <c r="G172" s="342"/>
      <c r="H172" s="344"/>
      <c r="I172" s="342"/>
      <c r="J172" s="344"/>
      <c r="K172" s="344"/>
      <c r="L172" s="344"/>
      <c r="M172" s="342"/>
      <c r="N172" s="343"/>
      <c r="O172" s="342"/>
      <c r="P172" s="344"/>
      <c r="Q172" s="344"/>
      <c r="R172" s="344"/>
      <c r="S172" s="344"/>
      <c r="T172" s="344"/>
      <c r="U172" s="343"/>
      <c r="V172" s="342"/>
      <c r="W172" s="342"/>
      <c r="X172" s="342"/>
      <c r="Y172" s="345"/>
      <c r="Z172" s="340"/>
      <c r="AA172" s="340"/>
      <c r="AB172" s="345"/>
      <c r="AC172" s="340"/>
      <c r="AD172" s="340"/>
      <c r="AE172" s="340"/>
      <c r="AF172" s="340"/>
      <c r="AG172" s="340"/>
      <c r="AH172" s="345"/>
      <c r="AI172" s="340"/>
      <c r="AJ172" s="342"/>
      <c r="AK172" s="345"/>
      <c r="AL172" s="342"/>
      <c r="AM172" s="340"/>
      <c r="AN172" s="250"/>
      <c r="AO172" s="342"/>
      <c r="AP172" s="344"/>
      <c r="AQ172" s="342"/>
      <c r="AR172" s="344"/>
      <c r="AS172" s="342"/>
      <c r="AT172" s="342"/>
      <c r="AU172" s="342"/>
      <c r="AV172" s="344"/>
      <c r="AW172" s="342"/>
      <c r="AX172" s="342"/>
      <c r="AY172" s="342"/>
      <c r="AZ172" s="344"/>
      <c r="BA172" s="342"/>
      <c r="BB172" s="346"/>
      <c r="BC172" s="346"/>
      <c r="BD172" s="346"/>
      <c r="BE172" s="345"/>
      <c r="BF172" s="345"/>
      <c r="BG172" s="345">
        <v>3</v>
      </c>
      <c r="BH172" s="345">
        <v>3</v>
      </c>
      <c r="BI172" s="345"/>
      <c r="BJ172" s="345"/>
      <c r="BK172" s="340"/>
      <c r="BL172" s="340">
        <v>1</v>
      </c>
      <c r="BM172" s="345">
        <v>1</v>
      </c>
      <c r="BN172" s="347">
        <v>1</v>
      </c>
    </row>
    <row r="173" spans="1:66" ht="12">
      <c r="A173" s="340">
        <f t="shared" si="23"/>
        <v>41</v>
      </c>
      <c r="B173" s="341" t="s">
        <v>80</v>
      </c>
      <c r="C173" s="340">
        <v>18</v>
      </c>
      <c r="D173" s="340" t="s">
        <v>41</v>
      </c>
      <c r="E173" s="342">
        <f t="shared" si="21"/>
        <v>4.75</v>
      </c>
      <c r="F173" s="342">
        <f t="shared" si="22"/>
        <v>4.75</v>
      </c>
      <c r="G173" s="342"/>
      <c r="H173" s="344">
        <v>0.01</v>
      </c>
      <c r="I173" s="342">
        <f>H173*475</f>
        <v>4.75</v>
      </c>
      <c r="J173" s="344">
        <v>0.01</v>
      </c>
      <c r="K173" s="342">
        <f>J173*475</f>
        <v>4.75</v>
      </c>
      <c r="L173" s="344"/>
      <c r="M173" s="342"/>
      <c r="N173" s="343"/>
      <c r="O173" s="342"/>
      <c r="P173" s="344"/>
      <c r="Q173" s="344"/>
      <c r="R173" s="344"/>
      <c r="S173" s="344"/>
      <c r="T173" s="344"/>
      <c r="U173" s="343"/>
      <c r="V173" s="342"/>
      <c r="W173" s="342"/>
      <c r="X173" s="342"/>
      <c r="Y173" s="345"/>
      <c r="Z173" s="340"/>
      <c r="AA173" s="340"/>
      <c r="AB173" s="345"/>
      <c r="AC173" s="340"/>
      <c r="AD173" s="340"/>
      <c r="AE173" s="340"/>
      <c r="AF173" s="340"/>
      <c r="AG173" s="340">
        <v>4</v>
      </c>
      <c r="AH173" s="345">
        <v>4</v>
      </c>
      <c r="AI173" s="340"/>
      <c r="AJ173" s="342"/>
      <c r="AK173" s="345"/>
      <c r="AL173" s="342"/>
      <c r="AM173" s="340"/>
      <c r="AN173" s="250"/>
      <c r="AO173" s="342"/>
      <c r="AP173" s="342"/>
      <c r="AQ173" s="342"/>
      <c r="AR173" s="344"/>
      <c r="AS173" s="342"/>
      <c r="AT173" s="342"/>
      <c r="AU173" s="342"/>
      <c r="AV173" s="344"/>
      <c r="AW173" s="342"/>
      <c r="AX173" s="342"/>
      <c r="AY173" s="342"/>
      <c r="AZ173" s="344"/>
      <c r="BA173" s="346"/>
      <c r="BB173" s="346"/>
      <c r="BC173" s="346"/>
      <c r="BD173" s="346"/>
      <c r="BE173" s="345"/>
      <c r="BF173" s="345"/>
      <c r="BG173" s="345">
        <v>4</v>
      </c>
      <c r="BH173" s="345">
        <v>4</v>
      </c>
      <c r="BI173" s="345"/>
      <c r="BJ173" s="345"/>
      <c r="BK173" s="340">
        <v>1</v>
      </c>
      <c r="BL173" s="340">
        <v>1</v>
      </c>
      <c r="BM173" s="345">
        <v>1</v>
      </c>
      <c r="BN173" s="347">
        <v>1</v>
      </c>
    </row>
    <row r="174" spans="1:66" ht="12">
      <c r="A174" s="340">
        <f t="shared" si="23"/>
        <v>42</v>
      </c>
      <c r="B174" s="341" t="s">
        <v>80</v>
      </c>
      <c r="C174" s="340">
        <v>20</v>
      </c>
      <c r="D174" s="340"/>
      <c r="E174" s="342">
        <f t="shared" si="21"/>
        <v>0</v>
      </c>
      <c r="F174" s="342">
        <f t="shared" si="22"/>
        <v>0</v>
      </c>
      <c r="G174" s="342"/>
      <c r="H174" s="344"/>
      <c r="I174" s="342"/>
      <c r="J174" s="344"/>
      <c r="K174" s="344"/>
      <c r="L174" s="344"/>
      <c r="M174" s="342"/>
      <c r="N174" s="343"/>
      <c r="O174" s="342"/>
      <c r="P174" s="344"/>
      <c r="Q174" s="344"/>
      <c r="R174" s="344"/>
      <c r="S174" s="344"/>
      <c r="T174" s="344"/>
      <c r="U174" s="343"/>
      <c r="V174" s="342"/>
      <c r="W174" s="342"/>
      <c r="X174" s="342"/>
      <c r="Y174" s="345"/>
      <c r="Z174" s="340"/>
      <c r="AA174" s="340"/>
      <c r="AB174" s="345"/>
      <c r="AC174" s="340"/>
      <c r="AD174" s="340"/>
      <c r="AE174" s="340"/>
      <c r="AF174" s="340"/>
      <c r="AG174" s="340">
        <v>8</v>
      </c>
      <c r="AH174" s="345">
        <v>8</v>
      </c>
      <c r="AI174" s="340"/>
      <c r="AJ174" s="342"/>
      <c r="AK174" s="345"/>
      <c r="AL174" s="342"/>
      <c r="AM174" s="340"/>
      <c r="AN174" s="250"/>
      <c r="AO174" s="342"/>
      <c r="AP174" s="342"/>
      <c r="AQ174" s="342"/>
      <c r="AR174" s="344"/>
      <c r="AS174" s="342"/>
      <c r="AT174" s="342"/>
      <c r="AU174" s="342"/>
      <c r="AV174" s="344"/>
      <c r="AW174" s="342"/>
      <c r="AX174" s="342"/>
      <c r="AY174" s="342"/>
      <c r="AZ174" s="344"/>
      <c r="BA174" s="346"/>
      <c r="BB174" s="346"/>
      <c r="BC174" s="346"/>
      <c r="BD174" s="346"/>
      <c r="BE174" s="345">
        <v>1</v>
      </c>
      <c r="BF174" s="345">
        <v>1</v>
      </c>
      <c r="BG174" s="345">
        <v>1</v>
      </c>
      <c r="BH174" s="345">
        <v>1</v>
      </c>
      <c r="BI174" s="345"/>
      <c r="BJ174" s="345"/>
      <c r="BK174" s="340">
        <v>1</v>
      </c>
      <c r="BL174" s="340">
        <v>1</v>
      </c>
      <c r="BM174" s="345">
        <v>1</v>
      </c>
      <c r="BN174" s="347">
        <v>1</v>
      </c>
    </row>
    <row r="175" spans="1:66" ht="24">
      <c r="A175" s="340">
        <f t="shared" si="23"/>
        <v>43</v>
      </c>
      <c r="B175" s="341" t="s">
        <v>80</v>
      </c>
      <c r="C175" s="340">
        <v>26</v>
      </c>
      <c r="D175" s="340" t="s">
        <v>40</v>
      </c>
      <c r="E175" s="342">
        <f t="shared" si="21"/>
        <v>19</v>
      </c>
      <c r="F175" s="342">
        <f t="shared" si="22"/>
        <v>36.5</v>
      </c>
      <c r="G175" s="342"/>
      <c r="H175" s="344">
        <v>0.04</v>
      </c>
      <c r="I175" s="342">
        <f>H175*475</f>
        <v>19</v>
      </c>
      <c r="J175" s="344">
        <v>0.06</v>
      </c>
      <c r="K175" s="342">
        <f>J175*475</f>
        <v>28.5</v>
      </c>
      <c r="L175" s="344"/>
      <c r="M175" s="342"/>
      <c r="N175" s="343"/>
      <c r="O175" s="342"/>
      <c r="P175" s="344"/>
      <c r="Q175" s="344"/>
      <c r="R175" s="344"/>
      <c r="S175" s="344"/>
      <c r="T175" s="344"/>
      <c r="U175" s="343"/>
      <c r="V175" s="342">
        <f>U175*550</f>
        <v>0</v>
      </c>
      <c r="W175" s="342"/>
      <c r="X175" s="342"/>
      <c r="Y175" s="345"/>
      <c r="Z175" s="340"/>
      <c r="AA175" s="340"/>
      <c r="AB175" s="345"/>
      <c r="AC175" s="340"/>
      <c r="AD175" s="340"/>
      <c r="AE175" s="340"/>
      <c r="AF175" s="340"/>
      <c r="AG175" s="340">
        <v>2</v>
      </c>
      <c r="AH175" s="345">
        <v>2</v>
      </c>
      <c r="AI175" s="340"/>
      <c r="AJ175" s="342"/>
      <c r="AK175" s="345"/>
      <c r="AL175" s="342"/>
      <c r="AM175" s="340"/>
      <c r="AN175" s="250"/>
      <c r="AO175" s="342"/>
      <c r="AP175" s="250" t="s">
        <v>192</v>
      </c>
      <c r="AQ175" s="342">
        <v>8</v>
      </c>
      <c r="AR175" s="344"/>
      <c r="AS175" s="342"/>
      <c r="AT175" s="342"/>
      <c r="AU175" s="342"/>
      <c r="AV175" s="344"/>
      <c r="AW175" s="342"/>
      <c r="AX175" s="342"/>
      <c r="AY175" s="342"/>
      <c r="AZ175" s="344"/>
      <c r="BA175" s="346"/>
      <c r="BB175" s="346"/>
      <c r="BC175" s="346"/>
      <c r="BD175" s="346"/>
      <c r="BE175" s="345">
        <v>1</v>
      </c>
      <c r="BF175" s="345">
        <v>1</v>
      </c>
      <c r="BG175" s="345">
        <v>1</v>
      </c>
      <c r="BH175" s="345">
        <v>1</v>
      </c>
      <c r="BI175" s="345"/>
      <c r="BJ175" s="345"/>
      <c r="BK175" s="340">
        <v>1</v>
      </c>
      <c r="BL175" s="345">
        <v>1</v>
      </c>
      <c r="BM175" s="345">
        <v>1</v>
      </c>
      <c r="BN175" s="347">
        <v>1</v>
      </c>
    </row>
    <row r="176" spans="1:66" ht="28.5" customHeight="1">
      <c r="A176" s="340">
        <f t="shared" si="23"/>
        <v>44</v>
      </c>
      <c r="B176" s="341" t="s">
        <v>80</v>
      </c>
      <c r="C176" s="340">
        <v>26</v>
      </c>
      <c r="D176" s="340" t="s">
        <v>73</v>
      </c>
      <c r="E176" s="342">
        <f t="shared" si="21"/>
        <v>0</v>
      </c>
      <c r="F176" s="342">
        <f t="shared" si="22"/>
        <v>3</v>
      </c>
      <c r="G176" s="342"/>
      <c r="H176" s="344"/>
      <c r="I176" s="342"/>
      <c r="J176" s="344"/>
      <c r="K176" s="344"/>
      <c r="L176" s="344"/>
      <c r="M176" s="342"/>
      <c r="N176" s="343"/>
      <c r="O176" s="342"/>
      <c r="P176" s="344"/>
      <c r="Q176" s="344"/>
      <c r="R176" s="344"/>
      <c r="S176" s="344"/>
      <c r="T176" s="344"/>
      <c r="U176" s="343"/>
      <c r="V176" s="342"/>
      <c r="W176" s="342"/>
      <c r="X176" s="342"/>
      <c r="Y176" s="345"/>
      <c r="Z176" s="340"/>
      <c r="AA176" s="340"/>
      <c r="AB176" s="345"/>
      <c r="AC176" s="340"/>
      <c r="AD176" s="340"/>
      <c r="AE176" s="340"/>
      <c r="AF176" s="340"/>
      <c r="AG176" s="340"/>
      <c r="AH176" s="345"/>
      <c r="AI176" s="340"/>
      <c r="AJ176" s="342"/>
      <c r="AK176" s="345"/>
      <c r="AL176" s="342"/>
      <c r="AM176" s="340"/>
      <c r="AN176" s="250"/>
      <c r="AO176" s="342"/>
      <c r="AP176" s="250" t="s">
        <v>136</v>
      </c>
      <c r="AQ176" s="342">
        <v>3</v>
      </c>
      <c r="AR176" s="344"/>
      <c r="AS176" s="342"/>
      <c r="AT176" s="342"/>
      <c r="AU176" s="342"/>
      <c r="AV176" s="344"/>
      <c r="AW176" s="342"/>
      <c r="AX176" s="342"/>
      <c r="AY176" s="342"/>
      <c r="AZ176" s="344"/>
      <c r="BA176" s="346"/>
      <c r="BB176" s="346"/>
      <c r="BC176" s="346"/>
      <c r="BD176" s="346"/>
      <c r="BE176" s="345">
        <v>1</v>
      </c>
      <c r="BF176" s="345">
        <v>1</v>
      </c>
      <c r="BG176" s="345">
        <v>2</v>
      </c>
      <c r="BH176" s="345">
        <v>2</v>
      </c>
      <c r="BI176" s="345"/>
      <c r="BJ176" s="345"/>
      <c r="BK176" s="340">
        <v>1</v>
      </c>
      <c r="BL176" s="345">
        <v>1</v>
      </c>
      <c r="BM176" s="345">
        <v>1</v>
      </c>
      <c r="BN176" s="347">
        <v>1</v>
      </c>
    </row>
    <row r="177" spans="1:66" ht="26.25" customHeight="1">
      <c r="A177" s="340">
        <f t="shared" si="23"/>
        <v>45</v>
      </c>
      <c r="B177" s="341" t="s">
        <v>80</v>
      </c>
      <c r="C177" s="340">
        <v>28</v>
      </c>
      <c r="D177" s="340"/>
      <c r="E177" s="342">
        <f t="shared" si="21"/>
        <v>0</v>
      </c>
      <c r="F177" s="342">
        <f t="shared" si="22"/>
        <v>0</v>
      </c>
      <c r="G177" s="342"/>
      <c r="H177" s="344"/>
      <c r="I177" s="342"/>
      <c r="J177" s="344"/>
      <c r="K177" s="344"/>
      <c r="L177" s="344"/>
      <c r="M177" s="342"/>
      <c r="N177" s="343"/>
      <c r="O177" s="342"/>
      <c r="P177" s="344"/>
      <c r="Q177" s="344"/>
      <c r="R177" s="344"/>
      <c r="S177" s="344"/>
      <c r="T177" s="344"/>
      <c r="U177" s="343"/>
      <c r="V177" s="342"/>
      <c r="W177" s="342"/>
      <c r="X177" s="342"/>
      <c r="Y177" s="345"/>
      <c r="Z177" s="340"/>
      <c r="AA177" s="340"/>
      <c r="AB177" s="345"/>
      <c r="AC177" s="340"/>
      <c r="AD177" s="340"/>
      <c r="AE177" s="340"/>
      <c r="AF177" s="340"/>
      <c r="AG177" s="340"/>
      <c r="AH177" s="345"/>
      <c r="AI177" s="340"/>
      <c r="AJ177" s="342"/>
      <c r="AK177" s="345"/>
      <c r="AL177" s="342"/>
      <c r="AM177" s="340"/>
      <c r="AN177" s="250"/>
      <c r="AO177" s="342"/>
      <c r="AP177" s="342"/>
      <c r="AQ177" s="342"/>
      <c r="AR177" s="344"/>
      <c r="AS177" s="342"/>
      <c r="AT177" s="342"/>
      <c r="AU177" s="342"/>
      <c r="AV177" s="344"/>
      <c r="AW177" s="342"/>
      <c r="AX177" s="342"/>
      <c r="AY177" s="342"/>
      <c r="AZ177" s="344"/>
      <c r="BA177" s="346"/>
      <c r="BB177" s="346"/>
      <c r="BC177" s="346"/>
      <c r="BD177" s="346"/>
      <c r="BE177" s="345"/>
      <c r="BF177" s="345"/>
      <c r="BG177" s="345">
        <v>1</v>
      </c>
      <c r="BH177" s="345">
        <v>1</v>
      </c>
      <c r="BI177" s="345"/>
      <c r="BJ177" s="345"/>
      <c r="BK177" s="340"/>
      <c r="BL177" s="340">
        <v>1</v>
      </c>
      <c r="BM177" s="345">
        <v>1</v>
      </c>
      <c r="BN177" s="347">
        <v>1</v>
      </c>
    </row>
    <row r="178" spans="1:66" ht="24">
      <c r="A178" s="340">
        <f t="shared" si="23"/>
        <v>46</v>
      </c>
      <c r="B178" s="341" t="s">
        <v>80</v>
      </c>
      <c r="C178" s="340">
        <v>38</v>
      </c>
      <c r="D178" s="340"/>
      <c r="E178" s="342">
        <f t="shared" si="21"/>
        <v>0</v>
      </c>
      <c r="F178" s="342">
        <f t="shared" si="22"/>
        <v>4</v>
      </c>
      <c r="G178" s="342"/>
      <c r="H178" s="344"/>
      <c r="I178" s="342"/>
      <c r="J178" s="344"/>
      <c r="K178" s="344"/>
      <c r="L178" s="344"/>
      <c r="M178" s="342"/>
      <c r="N178" s="343"/>
      <c r="O178" s="342"/>
      <c r="P178" s="344"/>
      <c r="Q178" s="344"/>
      <c r="R178" s="344"/>
      <c r="S178" s="344"/>
      <c r="T178" s="344"/>
      <c r="U178" s="343"/>
      <c r="V178" s="342"/>
      <c r="W178" s="342"/>
      <c r="X178" s="342"/>
      <c r="Y178" s="345"/>
      <c r="Z178" s="340"/>
      <c r="AA178" s="340">
        <v>3</v>
      </c>
      <c r="AB178" s="345">
        <v>3</v>
      </c>
      <c r="AC178" s="340"/>
      <c r="AD178" s="340"/>
      <c r="AE178" s="340"/>
      <c r="AF178" s="340"/>
      <c r="AG178" s="340">
        <v>7</v>
      </c>
      <c r="AH178" s="345">
        <v>7</v>
      </c>
      <c r="AI178" s="340"/>
      <c r="AJ178" s="342"/>
      <c r="AK178" s="345"/>
      <c r="AL178" s="342"/>
      <c r="AM178" s="340"/>
      <c r="AN178" s="250"/>
      <c r="AO178" s="342"/>
      <c r="AP178" s="250" t="s">
        <v>187</v>
      </c>
      <c r="AQ178" s="342">
        <v>4</v>
      </c>
      <c r="AR178" s="344"/>
      <c r="AS178" s="342"/>
      <c r="AT178" s="342"/>
      <c r="AU178" s="342"/>
      <c r="AV178" s="344"/>
      <c r="AW178" s="342"/>
      <c r="AX178" s="342"/>
      <c r="AY178" s="342"/>
      <c r="AZ178" s="344"/>
      <c r="BA178" s="346"/>
      <c r="BB178" s="346"/>
      <c r="BC178" s="346"/>
      <c r="BD178" s="346"/>
      <c r="BE178" s="345">
        <v>1</v>
      </c>
      <c r="BF178" s="345">
        <v>1</v>
      </c>
      <c r="BG178" s="345">
        <v>1</v>
      </c>
      <c r="BH178" s="345">
        <v>1</v>
      </c>
      <c r="BI178" s="345"/>
      <c r="BJ178" s="345"/>
      <c r="BK178" s="340">
        <v>1</v>
      </c>
      <c r="BL178" s="345">
        <v>1</v>
      </c>
      <c r="BM178" s="345">
        <v>1</v>
      </c>
      <c r="BN178" s="347">
        <v>1</v>
      </c>
    </row>
    <row r="179" spans="1:66" ht="24">
      <c r="A179" s="340">
        <f t="shared" si="23"/>
        <v>47</v>
      </c>
      <c r="B179" s="341" t="s">
        <v>80</v>
      </c>
      <c r="C179" s="340">
        <v>38</v>
      </c>
      <c r="D179" s="340" t="s">
        <v>40</v>
      </c>
      <c r="E179" s="342">
        <f t="shared" si="21"/>
        <v>19</v>
      </c>
      <c r="F179" s="342">
        <f t="shared" si="22"/>
        <v>37.75</v>
      </c>
      <c r="G179" s="342"/>
      <c r="H179" s="344">
        <v>0.04</v>
      </c>
      <c r="I179" s="342">
        <f>H179*475</f>
        <v>19</v>
      </c>
      <c r="J179" s="344">
        <v>0.05</v>
      </c>
      <c r="K179" s="342">
        <f>J179*475</f>
        <v>23.75</v>
      </c>
      <c r="L179" s="344"/>
      <c r="M179" s="342"/>
      <c r="N179" s="343"/>
      <c r="O179" s="342"/>
      <c r="P179" s="344"/>
      <c r="Q179" s="344"/>
      <c r="R179" s="344"/>
      <c r="S179" s="344"/>
      <c r="T179" s="344"/>
      <c r="U179" s="343"/>
      <c r="V179" s="342"/>
      <c r="W179" s="342"/>
      <c r="X179" s="342"/>
      <c r="Y179" s="345"/>
      <c r="Z179" s="340"/>
      <c r="AA179" s="340">
        <v>1</v>
      </c>
      <c r="AB179" s="345">
        <v>1</v>
      </c>
      <c r="AC179" s="340"/>
      <c r="AD179" s="340"/>
      <c r="AE179" s="340"/>
      <c r="AF179" s="340"/>
      <c r="AG179" s="340"/>
      <c r="AH179" s="345"/>
      <c r="AI179" s="340"/>
      <c r="AJ179" s="342"/>
      <c r="AK179" s="345"/>
      <c r="AL179" s="342"/>
      <c r="AM179" s="340"/>
      <c r="AN179" s="250"/>
      <c r="AO179" s="342"/>
      <c r="AP179" s="250" t="s">
        <v>193</v>
      </c>
      <c r="AQ179" s="342">
        <v>14</v>
      </c>
      <c r="AR179" s="344"/>
      <c r="AS179" s="342"/>
      <c r="AT179" s="344"/>
      <c r="AU179" s="342"/>
      <c r="AV179" s="344"/>
      <c r="AW179" s="342"/>
      <c r="AX179" s="342"/>
      <c r="AY179" s="342"/>
      <c r="AZ179" s="344"/>
      <c r="BA179" s="346"/>
      <c r="BB179" s="346"/>
      <c r="BC179" s="346"/>
      <c r="BD179" s="346"/>
      <c r="BE179" s="345"/>
      <c r="BF179" s="345"/>
      <c r="BG179" s="345">
        <v>5</v>
      </c>
      <c r="BH179" s="345">
        <v>5</v>
      </c>
      <c r="BI179" s="345"/>
      <c r="BJ179" s="345"/>
      <c r="BK179" s="340"/>
      <c r="BL179" s="340">
        <v>1</v>
      </c>
      <c r="BM179" s="345">
        <v>1</v>
      </c>
      <c r="BN179" s="347">
        <v>1</v>
      </c>
    </row>
    <row r="180" spans="1:66" ht="12">
      <c r="A180" s="340">
        <f t="shared" si="23"/>
        <v>48</v>
      </c>
      <c r="B180" s="341" t="s">
        <v>80</v>
      </c>
      <c r="C180" s="340">
        <v>38</v>
      </c>
      <c r="D180" s="340" t="s">
        <v>41</v>
      </c>
      <c r="E180" s="342">
        <f t="shared" si="21"/>
        <v>0</v>
      </c>
      <c r="F180" s="342">
        <f t="shared" si="22"/>
        <v>0</v>
      </c>
      <c r="G180" s="342"/>
      <c r="H180" s="344"/>
      <c r="I180" s="342"/>
      <c r="J180" s="344"/>
      <c r="K180" s="344"/>
      <c r="L180" s="344"/>
      <c r="M180" s="342"/>
      <c r="N180" s="343"/>
      <c r="O180" s="342"/>
      <c r="P180" s="344"/>
      <c r="Q180" s="344"/>
      <c r="R180" s="344"/>
      <c r="S180" s="344"/>
      <c r="T180" s="344"/>
      <c r="U180" s="343"/>
      <c r="V180" s="342"/>
      <c r="W180" s="342"/>
      <c r="X180" s="342"/>
      <c r="Y180" s="345"/>
      <c r="Z180" s="340"/>
      <c r="AA180" s="340">
        <v>2</v>
      </c>
      <c r="AB180" s="345">
        <v>2</v>
      </c>
      <c r="AC180" s="340"/>
      <c r="AD180" s="340"/>
      <c r="AE180" s="340"/>
      <c r="AF180" s="340"/>
      <c r="AG180" s="340"/>
      <c r="AH180" s="345"/>
      <c r="AI180" s="340"/>
      <c r="AJ180" s="342"/>
      <c r="AK180" s="345"/>
      <c r="AL180" s="342"/>
      <c r="AM180" s="340"/>
      <c r="AN180" s="250"/>
      <c r="AO180" s="342"/>
      <c r="AP180" s="342"/>
      <c r="AQ180" s="342"/>
      <c r="AR180" s="344"/>
      <c r="AS180" s="342"/>
      <c r="AT180" s="342"/>
      <c r="AU180" s="342"/>
      <c r="AV180" s="344"/>
      <c r="AW180" s="342"/>
      <c r="AX180" s="342"/>
      <c r="AY180" s="342"/>
      <c r="AZ180" s="344"/>
      <c r="BA180" s="346"/>
      <c r="BB180" s="346"/>
      <c r="BC180" s="346"/>
      <c r="BD180" s="346"/>
      <c r="BE180" s="345">
        <v>1</v>
      </c>
      <c r="BF180" s="345">
        <v>1</v>
      </c>
      <c r="BG180" s="345">
        <v>1</v>
      </c>
      <c r="BH180" s="345">
        <v>1</v>
      </c>
      <c r="BI180" s="345"/>
      <c r="BJ180" s="345"/>
      <c r="BK180" s="340">
        <v>1</v>
      </c>
      <c r="BL180" s="340">
        <v>1</v>
      </c>
      <c r="BM180" s="345">
        <v>1</v>
      </c>
      <c r="BN180" s="347">
        <v>1</v>
      </c>
    </row>
    <row r="181" spans="1:66" ht="12">
      <c r="A181" s="340">
        <f t="shared" si="23"/>
        <v>49</v>
      </c>
      <c r="B181" s="341" t="s">
        <v>81</v>
      </c>
      <c r="C181" s="340">
        <v>14</v>
      </c>
      <c r="D181" s="340"/>
      <c r="E181" s="342">
        <f t="shared" si="21"/>
        <v>0</v>
      </c>
      <c r="F181" s="342">
        <f t="shared" si="22"/>
        <v>0</v>
      </c>
      <c r="G181" s="342"/>
      <c r="H181" s="344"/>
      <c r="I181" s="342"/>
      <c r="J181" s="344"/>
      <c r="K181" s="344"/>
      <c r="L181" s="344"/>
      <c r="M181" s="342"/>
      <c r="N181" s="343"/>
      <c r="O181" s="342"/>
      <c r="P181" s="344"/>
      <c r="Q181" s="344"/>
      <c r="R181" s="344"/>
      <c r="S181" s="344"/>
      <c r="T181" s="344"/>
      <c r="U181" s="343"/>
      <c r="V181" s="342"/>
      <c r="W181" s="342"/>
      <c r="X181" s="342"/>
      <c r="Y181" s="345"/>
      <c r="Z181" s="340"/>
      <c r="AA181" s="340">
        <v>1</v>
      </c>
      <c r="AB181" s="345">
        <v>1</v>
      </c>
      <c r="AC181" s="340"/>
      <c r="AD181" s="340"/>
      <c r="AE181" s="340"/>
      <c r="AF181" s="340"/>
      <c r="AG181" s="340"/>
      <c r="AH181" s="345"/>
      <c r="AI181" s="340"/>
      <c r="AJ181" s="342"/>
      <c r="AK181" s="345"/>
      <c r="AL181" s="342"/>
      <c r="AM181" s="340"/>
      <c r="AN181" s="250"/>
      <c r="AO181" s="342"/>
      <c r="AP181" s="342"/>
      <c r="AQ181" s="342"/>
      <c r="AR181" s="344"/>
      <c r="AS181" s="342"/>
      <c r="AT181" s="342"/>
      <c r="AU181" s="342"/>
      <c r="AV181" s="344"/>
      <c r="AW181" s="342"/>
      <c r="AX181" s="342"/>
      <c r="AY181" s="342"/>
      <c r="AZ181" s="344"/>
      <c r="BA181" s="346"/>
      <c r="BB181" s="346"/>
      <c r="BC181" s="346"/>
      <c r="BD181" s="346"/>
      <c r="BE181" s="345">
        <v>1</v>
      </c>
      <c r="BF181" s="345">
        <v>1</v>
      </c>
      <c r="BG181" s="345">
        <v>1</v>
      </c>
      <c r="BH181" s="345">
        <v>1</v>
      </c>
      <c r="BI181" s="345"/>
      <c r="BJ181" s="345"/>
      <c r="BK181" s="340">
        <v>1</v>
      </c>
      <c r="BL181" s="340">
        <v>1</v>
      </c>
      <c r="BM181" s="345">
        <v>1</v>
      </c>
      <c r="BN181" s="347">
        <v>1</v>
      </c>
    </row>
    <row r="182" spans="1:66" s="355" customFormat="1" ht="12">
      <c r="A182" s="340">
        <f t="shared" si="23"/>
        <v>50</v>
      </c>
      <c r="B182" s="341" t="s">
        <v>82</v>
      </c>
      <c r="C182" s="340">
        <v>2</v>
      </c>
      <c r="D182" s="340"/>
      <c r="E182" s="342">
        <f t="shared" si="21"/>
        <v>0</v>
      </c>
      <c r="F182" s="342">
        <f t="shared" si="22"/>
        <v>0</v>
      </c>
      <c r="G182" s="342"/>
      <c r="H182" s="344"/>
      <c r="I182" s="342"/>
      <c r="J182" s="344"/>
      <c r="K182" s="344"/>
      <c r="L182" s="344"/>
      <c r="M182" s="342"/>
      <c r="N182" s="343"/>
      <c r="O182" s="342"/>
      <c r="P182" s="344"/>
      <c r="Q182" s="344"/>
      <c r="R182" s="344"/>
      <c r="S182" s="344"/>
      <c r="T182" s="344"/>
      <c r="U182" s="343"/>
      <c r="V182" s="342"/>
      <c r="W182" s="342"/>
      <c r="X182" s="342"/>
      <c r="Y182" s="345"/>
      <c r="Z182" s="340"/>
      <c r="AA182" s="340"/>
      <c r="AB182" s="345"/>
      <c r="AC182" s="340"/>
      <c r="AD182" s="340"/>
      <c r="AE182" s="340"/>
      <c r="AF182" s="340"/>
      <c r="AG182" s="340"/>
      <c r="AH182" s="345"/>
      <c r="AI182" s="340"/>
      <c r="AJ182" s="342"/>
      <c r="AK182" s="345"/>
      <c r="AL182" s="342"/>
      <c r="AM182" s="340"/>
      <c r="AN182" s="250"/>
      <c r="AO182" s="342"/>
      <c r="AP182" s="344"/>
      <c r="AQ182" s="342"/>
      <c r="AR182" s="344"/>
      <c r="AS182" s="342"/>
      <c r="AT182" s="342"/>
      <c r="AU182" s="342"/>
      <c r="AV182" s="344"/>
      <c r="AW182" s="342"/>
      <c r="AX182" s="342"/>
      <c r="AY182" s="342"/>
      <c r="AZ182" s="344"/>
      <c r="BA182" s="346"/>
      <c r="BB182" s="346"/>
      <c r="BC182" s="346"/>
      <c r="BD182" s="346"/>
      <c r="BE182" s="345"/>
      <c r="BF182" s="345"/>
      <c r="BG182" s="345">
        <v>1</v>
      </c>
      <c r="BH182" s="345">
        <v>1</v>
      </c>
      <c r="BI182" s="345"/>
      <c r="BJ182" s="345"/>
      <c r="BK182" s="340"/>
      <c r="BL182" s="340">
        <v>1</v>
      </c>
      <c r="BM182" s="345">
        <v>1</v>
      </c>
      <c r="BN182" s="347">
        <v>1</v>
      </c>
    </row>
    <row r="183" spans="1:66" ht="24">
      <c r="A183" s="340">
        <f t="shared" si="23"/>
        <v>51</v>
      </c>
      <c r="B183" s="341" t="s">
        <v>50</v>
      </c>
      <c r="C183" s="340">
        <v>10</v>
      </c>
      <c r="D183" s="340"/>
      <c r="E183" s="342">
        <f t="shared" si="21"/>
        <v>11.48</v>
      </c>
      <c r="F183" s="342">
        <f t="shared" si="22"/>
        <v>9.32</v>
      </c>
      <c r="G183" s="342"/>
      <c r="H183" s="344"/>
      <c r="I183" s="342"/>
      <c r="J183" s="344"/>
      <c r="K183" s="344"/>
      <c r="L183" s="344">
        <v>0.018</v>
      </c>
      <c r="M183" s="344">
        <f>L183*360</f>
        <v>6.4799999999999995</v>
      </c>
      <c r="N183" s="343">
        <f>0.006+0.006</f>
        <v>0.012</v>
      </c>
      <c r="O183" s="342">
        <f>N183*360</f>
        <v>4.32</v>
      </c>
      <c r="P183" s="344"/>
      <c r="Q183" s="344"/>
      <c r="R183" s="344"/>
      <c r="S183" s="344"/>
      <c r="T183" s="344"/>
      <c r="U183" s="343"/>
      <c r="V183" s="342"/>
      <c r="W183" s="342"/>
      <c r="X183" s="342"/>
      <c r="Y183" s="345"/>
      <c r="Z183" s="340"/>
      <c r="AA183" s="340"/>
      <c r="AB183" s="345"/>
      <c r="AC183" s="340"/>
      <c r="AD183" s="340"/>
      <c r="AE183" s="340"/>
      <c r="AF183" s="340"/>
      <c r="AG183" s="340">
        <v>8</v>
      </c>
      <c r="AH183" s="345"/>
      <c r="AI183" s="340"/>
      <c r="AJ183" s="342"/>
      <c r="AK183" s="345"/>
      <c r="AL183" s="342"/>
      <c r="AM183" s="340"/>
      <c r="AN183" s="250" t="s">
        <v>159</v>
      </c>
      <c r="AO183" s="342">
        <f>20*0.25</f>
        <v>5</v>
      </c>
      <c r="AP183" s="342" t="s">
        <v>191</v>
      </c>
      <c r="AQ183" s="342">
        <f>AO183</f>
        <v>5</v>
      </c>
      <c r="AR183" s="344"/>
      <c r="AS183" s="342"/>
      <c r="AT183" s="342"/>
      <c r="AU183" s="342"/>
      <c r="AV183" s="344"/>
      <c r="AW183" s="342"/>
      <c r="AX183" s="342"/>
      <c r="AY183" s="342"/>
      <c r="AZ183" s="344"/>
      <c r="BA183" s="346"/>
      <c r="BB183" s="346"/>
      <c r="BC183" s="346"/>
      <c r="BD183" s="346"/>
      <c r="BE183" s="345"/>
      <c r="BF183" s="345"/>
      <c r="BG183" s="345">
        <v>2</v>
      </c>
      <c r="BH183" s="345">
        <v>2</v>
      </c>
      <c r="BI183" s="345"/>
      <c r="BJ183" s="345"/>
      <c r="BK183" s="340"/>
      <c r="BL183" s="340">
        <v>1</v>
      </c>
      <c r="BM183" s="345">
        <v>1</v>
      </c>
      <c r="BN183" s="347">
        <v>1</v>
      </c>
    </row>
    <row r="184" spans="1:66" ht="24">
      <c r="A184" s="340">
        <f t="shared" si="23"/>
        <v>52</v>
      </c>
      <c r="B184" s="341" t="s">
        <v>50</v>
      </c>
      <c r="C184" s="340">
        <v>12</v>
      </c>
      <c r="D184" s="340"/>
      <c r="E184" s="342">
        <f t="shared" si="21"/>
        <v>23.72</v>
      </c>
      <c r="F184" s="342">
        <f t="shared" si="22"/>
        <v>28.436000000000003</v>
      </c>
      <c r="G184" s="342"/>
      <c r="H184" s="344"/>
      <c r="I184" s="342"/>
      <c r="J184" s="344"/>
      <c r="K184" s="344"/>
      <c r="L184" s="344">
        <v>0.052</v>
      </c>
      <c r="M184" s="344">
        <f>L184*360</f>
        <v>18.72</v>
      </c>
      <c r="N184" s="343">
        <v>0.0651</v>
      </c>
      <c r="O184" s="342">
        <f>N184*360</f>
        <v>23.436000000000003</v>
      </c>
      <c r="P184" s="344"/>
      <c r="Q184" s="344"/>
      <c r="R184" s="344"/>
      <c r="S184" s="344"/>
      <c r="T184" s="344"/>
      <c r="U184" s="343"/>
      <c r="V184" s="342"/>
      <c r="W184" s="342"/>
      <c r="X184" s="342"/>
      <c r="Y184" s="345"/>
      <c r="Z184" s="340"/>
      <c r="AA184" s="340"/>
      <c r="AB184" s="345"/>
      <c r="AC184" s="340"/>
      <c r="AD184" s="340"/>
      <c r="AE184" s="340"/>
      <c r="AF184" s="340"/>
      <c r="AG184" s="340">
        <v>18</v>
      </c>
      <c r="AH184" s="345"/>
      <c r="AI184" s="340"/>
      <c r="AJ184" s="342"/>
      <c r="AK184" s="345"/>
      <c r="AL184" s="342"/>
      <c r="AM184" s="340"/>
      <c r="AN184" s="250" t="s">
        <v>159</v>
      </c>
      <c r="AO184" s="342">
        <f>20*0.25</f>
        <v>5</v>
      </c>
      <c r="AP184" s="342" t="s">
        <v>191</v>
      </c>
      <c r="AQ184" s="342">
        <f>AO184</f>
        <v>5</v>
      </c>
      <c r="AR184" s="344"/>
      <c r="AS184" s="342"/>
      <c r="AT184" s="342"/>
      <c r="AU184" s="342"/>
      <c r="AV184" s="344"/>
      <c r="AW184" s="342"/>
      <c r="AX184" s="342"/>
      <c r="AY184" s="342"/>
      <c r="AZ184" s="344"/>
      <c r="BA184" s="346"/>
      <c r="BB184" s="346"/>
      <c r="BC184" s="346"/>
      <c r="BD184" s="346"/>
      <c r="BE184" s="345"/>
      <c r="BF184" s="345"/>
      <c r="BG184" s="345">
        <v>3</v>
      </c>
      <c r="BH184" s="345">
        <v>3</v>
      </c>
      <c r="BI184" s="345"/>
      <c r="BJ184" s="345"/>
      <c r="BK184" s="340"/>
      <c r="BL184" s="340">
        <v>1</v>
      </c>
      <c r="BM184" s="345">
        <v>1</v>
      </c>
      <c r="BN184" s="347">
        <v>1</v>
      </c>
    </row>
    <row r="185" spans="1:66" ht="12.75" thickBot="1">
      <c r="A185" s="340">
        <f t="shared" si="23"/>
        <v>53</v>
      </c>
      <c r="B185" s="341" t="s">
        <v>50</v>
      </c>
      <c r="C185" s="340">
        <v>20</v>
      </c>
      <c r="D185" s="340"/>
      <c r="E185" s="342">
        <f t="shared" si="21"/>
        <v>0</v>
      </c>
      <c r="F185" s="342">
        <f t="shared" si="22"/>
        <v>0</v>
      </c>
      <c r="G185" s="342"/>
      <c r="H185" s="344"/>
      <c r="I185" s="342"/>
      <c r="J185" s="344"/>
      <c r="K185" s="344"/>
      <c r="L185" s="344"/>
      <c r="M185" s="342"/>
      <c r="N185" s="343"/>
      <c r="O185" s="344"/>
      <c r="P185" s="344"/>
      <c r="Q185" s="344"/>
      <c r="R185" s="344"/>
      <c r="S185" s="344"/>
      <c r="T185" s="344"/>
      <c r="U185" s="343"/>
      <c r="V185" s="342"/>
      <c r="W185" s="342"/>
      <c r="X185" s="342"/>
      <c r="Y185" s="345"/>
      <c r="Z185" s="340"/>
      <c r="AA185" s="340"/>
      <c r="AB185" s="345"/>
      <c r="AC185" s="340"/>
      <c r="AD185" s="340"/>
      <c r="AE185" s="340"/>
      <c r="AF185" s="340"/>
      <c r="AG185" s="340">
        <v>6</v>
      </c>
      <c r="AH185" s="345"/>
      <c r="AI185" s="340"/>
      <c r="AJ185" s="342"/>
      <c r="AK185" s="345"/>
      <c r="AL185" s="342"/>
      <c r="AM185" s="340"/>
      <c r="AN185" s="250"/>
      <c r="AO185" s="342"/>
      <c r="AP185" s="342"/>
      <c r="AQ185" s="342"/>
      <c r="AR185" s="344"/>
      <c r="AS185" s="342"/>
      <c r="AT185" s="342"/>
      <c r="AU185" s="342"/>
      <c r="AV185" s="344"/>
      <c r="AW185" s="342"/>
      <c r="AX185" s="342"/>
      <c r="AY185" s="342"/>
      <c r="AZ185" s="344"/>
      <c r="BA185" s="346"/>
      <c r="BB185" s="346"/>
      <c r="BC185" s="346"/>
      <c r="BD185" s="346"/>
      <c r="BE185" s="345"/>
      <c r="BF185" s="345"/>
      <c r="BG185" s="345">
        <v>4</v>
      </c>
      <c r="BH185" s="345">
        <v>4</v>
      </c>
      <c r="BI185" s="345"/>
      <c r="BJ185" s="345"/>
      <c r="BK185" s="340"/>
      <c r="BL185" s="340">
        <v>1</v>
      </c>
      <c r="BM185" s="345">
        <v>1</v>
      </c>
      <c r="BN185" s="347">
        <v>1</v>
      </c>
    </row>
    <row r="186" spans="1:66" ht="12">
      <c r="A186" s="413" t="s">
        <v>0</v>
      </c>
      <c r="B186" s="414" t="s">
        <v>1</v>
      </c>
      <c r="C186" s="415"/>
      <c r="D186" s="416"/>
      <c r="E186" s="417" t="s">
        <v>2</v>
      </c>
      <c r="F186" s="418"/>
      <c r="G186" s="419"/>
      <c r="H186" s="420" t="s">
        <v>3</v>
      </c>
      <c r="I186" s="421"/>
      <c r="J186" s="421"/>
      <c r="K186" s="421"/>
      <c r="L186" s="422"/>
      <c r="M186" s="422"/>
      <c r="N186" s="422"/>
      <c r="O186" s="422"/>
      <c r="P186" s="422"/>
      <c r="Q186" s="422"/>
      <c r="R186" s="422"/>
      <c r="S186" s="422"/>
      <c r="T186" s="422"/>
      <c r="U186" s="422"/>
      <c r="V186" s="422"/>
      <c r="W186" s="422"/>
      <c r="X186" s="422"/>
      <c r="Y186" s="422"/>
      <c r="Z186" s="422"/>
      <c r="AA186" s="422"/>
      <c r="AB186" s="422"/>
      <c r="AC186" s="422"/>
      <c r="AD186" s="422"/>
      <c r="AE186" s="422"/>
      <c r="AF186" s="422"/>
      <c r="AG186" s="422"/>
      <c r="AH186" s="422"/>
      <c r="AI186" s="422"/>
      <c r="AJ186" s="422"/>
      <c r="AK186" s="422"/>
      <c r="AL186" s="422"/>
      <c r="AM186" s="422"/>
      <c r="AN186" s="422"/>
      <c r="AO186" s="422"/>
      <c r="AP186" s="422"/>
      <c r="AQ186" s="422"/>
      <c r="AR186" s="422"/>
      <c r="AS186" s="422"/>
      <c r="AT186" s="422"/>
      <c r="AU186" s="422"/>
      <c r="AV186" s="422"/>
      <c r="AW186" s="422"/>
      <c r="AX186" s="422"/>
      <c r="AY186" s="422"/>
      <c r="AZ186" s="422"/>
      <c r="BA186" s="422"/>
      <c r="BB186" s="422"/>
      <c r="BC186" s="422"/>
      <c r="BD186" s="422"/>
      <c r="BE186" s="422"/>
      <c r="BF186" s="422"/>
      <c r="BG186" s="422"/>
      <c r="BH186" s="422"/>
      <c r="BI186" s="422"/>
      <c r="BJ186" s="423"/>
      <c r="BK186" s="424" t="s">
        <v>4</v>
      </c>
      <c r="BL186" s="425"/>
      <c r="BM186" s="426" t="s">
        <v>5</v>
      </c>
      <c r="BN186" s="427"/>
    </row>
    <row r="187" spans="1:66" ht="12">
      <c r="A187" s="428"/>
      <c r="B187" s="310"/>
      <c r="C187" s="311"/>
      <c r="D187" s="312"/>
      <c r="E187" s="313"/>
      <c r="F187" s="314"/>
      <c r="G187" s="315"/>
      <c r="H187" s="390" t="s">
        <v>9</v>
      </c>
      <c r="I187" s="391"/>
      <c r="J187" s="391"/>
      <c r="K187" s="391"/>
      <c r="L187" s="391"/>
      <c r="M187" s="391"/>
      <c r="N187" s="391"/>
      <c r="O187" s="391"/>
      <c r="P187" s="391"/>
      <c r="Q187" s="391"/>
      <c r="R187" s="391"/>
      <c r="S187" s="391"/>
      <c r="T187" s="391"/>
      <c r="U187" s="391"/>
      <c r="V187" s="391"/>
      <c r="W187" s="391"/>
      <c r="X187" s="391"/>
      <c r="Y187" s="391"/>
      <c r="Z187" s="391"/>
      <c r="AA187" s="391"/>
      <c r="AB187" s="391"/>
      <c r="AC187" s="391"/>
      <c r="AD187" s="391"/>
      <c r="AE187" s="391"/>
      <c r="AF187" s="391"/>
      <c r="AG187" s="391"/>
      <c r="AH187" s="391"/>
      <c r="AI187" s="391"/>
      <c r="AJ187" s="391"/>
      <c r="AK187" s="391"/>
      <c r="AL187" s="391"/>
      <c r="AM187" s="392"/>
      <c r="AN187" s="316" t="s">
        <v>10</v>
      </c>
      <c r="AO187" s="317"/>
      <c r="AP187" s="317"/>
      <c r="AQ187" s="317"/>
      <c r="AR187" s="318"/>
      <c r="AS187" s="318"/>
      <c r="AT187" s="318"/>
      <c r="AU187" s="318"/>
      <c r="AV187" s="318"/>
      <c r="AW187" s="318"/>
      <c r="AX187" s="318"/>
      <c r="AY187" s="318"/>
      <c r="AZ187" s="318"/>
      <c r="BA187" s="318"/>
      <c r="BB187" s="318"/>
      <c r="BC187" s="318"/>
      <c r="BD187" s="318"/>
      <c r="BE187" s="318"/>
      <c r="BF187" s="318"/>
      <c r="BG187" s="318"/>
      <c r="BH187" s="318"/>
      <c r="BI187" s="318"/>
      <c r="BJ187" s="319" t="s">
        <v>97</v>
      </c>
      <c r="BK187" s="320"/>
      <c r="BL187" s="321"/>
      <c r="BM187" s="322"/>
      <c r="BN187" s="429"/>
    </row>
    <row r="188" spans="1:66" ht="75" customHeight="1">
      <c r="A188" s="428"/>
      <c r="B188" s="323" t="s">
        <v>11</v>
      </c>
      <c r="C188" s="323" t="s">
        <v>12</v>
      </c>
      <c r="D188" s="323" t="s">
        <v>13</v>
      </c>
      <c r="E188" s="324" t="s">
        <v>170</v>
      </c>
      <c r="F188" s="324" t="s">
        <v>171</v>
      </c>
      <c r="G188" s="324" t="s">
        <v>16</v>
      </c>
      <c r="H188" s="325" t="s">
        <v>98</v>
      </c>
      <c r="I188" s="326"/>
      <c r="J188" s="326"/>
      <c r="K188" s="326"/>
      <c r="L188" s="325" t="s">
        <v>17</v>
      </c>
      <c r="M188" s="326"/>
      <c r="N188" s="327"/>
      <c r="O188" s="326"/>
      <c r="P188" s="325" t="s">
        <v>99</v>
      </c>
      <c r="Q188" s="326"/>
      <c r="R188" s="326"/>
      <c r="S188" s="326"/>
      <c r="T188" s="328" t="s">
        <v>18</v>
      </c>
      <c r="U188" s="329" t="s">
        <v>138</v>
      </c>
      <c r="V188" s="326"/>
      <c r="W188" s="326"/>
      <c r="X188" s="326"/>
      <c r="Y188" s="330" t="s">
        <v>19</v>
      </c>
      <c r="Z188" s="331"/>
      <c r="AA188" s="332" t="s">
        <v>86</v>
      </c>
      <c r="AB188" s="333"/>
      <c r="AC188" s="248" t="s">
        <v>87</v>
      </c>
      <c r="AD188" s="326"/>
      <c r="AE188" s="326"/>
      <c r="AF188" s="334"/>
      <c r="AG188" s="248" t="s">
        <v>88</v>
      </c>
      <c r="AH188" s="333"/>
      <c r="AI188" s="248" t="s">
        <v>139</v>
      </c>
      <c r="AJ188" s="326"/>
      <c r="AK188" s="326"/>
      <c r="AL188" s="326"/>
      <c r="AM188" s="332" t="s">
        <v>20</v>
      </c>
      <c r="AN188" s="325" t="s">
        <v>21</v>
      </c>
      <c r="AO188" s="326"/>
      <c r="AP188" s="326"/>
      <c r="AQ188" s="326"/>
      <c r="AR188" s="325" t="s">
        <v>22</v>
      </c>
      <c r="AS188" s="326"/>
      <c r="AT188" s="326"/>
      <c r="AU188" s="326"/>
      <c r="AV188" s="325" t="s">
        <v>23</v>
      </c>
      <c r="AW188" s="326"/>
      <c r="AX188" s="326"/>
      <c r="AY188" s="326"/>
      <c r="AZ188" s="325" t="s">
        <v>172</v>
      </c>
      <c r="BA188" s="326"/>
      <c r="BB188" s="326"/>
      <c r="BC188" s="326"/>
      <c r="BD188" s="335" t="s">
        <v>24</v>
      </c>
      <c r="BE188" s="330" t="s">
        <v>25</v>
      </c>
      <c r="BF188" s="333"/>
      <c r="BG188" s="330" t="s">
        <v>26</v>
      </c>
      <c r="BH188" s="333"/>
      <c r="BI188" s="336" t="s">
        <v>27</v>
      </c>
      <c r="BJ188" s="337"/>
      <c r="BK188" s="320"/>
      <c r="BL188" s="338"/>
      <c r="BM188" s="339"/>
      <c r="BN188" s="430"/>
    </row>
    <row r="189" spans="1:66" ht="12.75" customHeight="1" thickBot="1">
      <c r="A189" s="431"/>
      <c r="B189" s="432"/>
      <c r="C189" s="432"/>
      <c r="D189" s="432"/>
      <c r="E189" s="433"/>
      <c r="F189" s="433"/>
      <c r="G189" s="433"/>
      <c r="H189" s="434" t="s">
        <v>173</v>
      </c>
      <c r="I189" s="435" t="s">
        <v>29</v>
      </c>
      <c r="J189" s="435" t="s">
        <v>174</v>
      </c>
      <c r="K189" s="435" t="s">
        <v>29</v>
      </c>
      <c r="L189" s="434" t="s">
        <v>173</v>
      </c>
      <c r="M189" s="435" t="s">
        <v>29</v>
      </c>
      <c r="N189" s="436" t="s">
        <v>174</v>
      </c>
      <c r="O189" s="435" t="s">
        <v>29</v>
      </c>
      <c r="P189" s="437" t="s">
        <v>173</v>
      </c>
      <c r="Q189" s="435" t="s">
        <v>29</v>
      </c>
      <c r="R189" s="435" t="s">
        <v>174</v>
      </c>
      <c r="S189" s="435" t="s">
        <v>29</v>
      </c>
      <c r="T189" s="438"/>
      <c r="U189" s="437" t="s">
        <v>173</v>
      </c>
      <c r="V189" s="435" t="s">
        <v>29</v>
      </c>
      <c r="W189" s="435" t="s">
        <v>174</v>
      </c>
      <c r="X189" s="435" t="s">
        <v>29</v>
      </c>
      <c r="Y189" s="437" t="s">
        <v>31</v>
      </c>
      <c r="Z189" s="435" t="s">
        <v>29</v>
      </c>
      <c r="AA189" s="437" t="s">
        <v>173</v>
      </c>
      <c r="AB189" s="437" t="s">
        <v>174</v>
      </c>
      <c r="AC189" s="437" t="s">
        <v>173</v>
      </c>
      <c r="AD189" s="435" t="s">
        <v>29</v>
      </c>
      <c r="AE189" s="437" t="s">
        <v>174</v>
      </c>
      <c r="AF189" s="435" t="s">
        <v>29</v>
      </c>
      <c r="AG189" s="437" t="s">
        <v>173</v>
      </c>
      <c r="AH189" s="437" t="s">
        <v>174</v>
      </c>
      <c r="AI189" s="437" t="s">
        <v>173</v>
      </c>
      <c r="AJ189" s="435" t="s">
        <v>29</v>
      </c>
      <c r="AK189" s="437" t="s">
        <v>174</v>
      </c>
      <c r="AL189" s="435" t="s">
        <v>29</v>
      </c>
      <c r="AM189" s="432"/>
      <c r="AN189" s="437" t="s">
        <v>173</v>
      </c>
      <c r="AO189" s="435" t="s">
        <v>29</v>
      </c>
      <c r="AP189" s="435" t="s">
        <v>174</v>
      </c>
      <c r="AQ189" s="435" t="s">
        <v>29</v>
      </c>
      <c r="AR189" s="437" t="s">
        <v>173</v>
      </c>
      <c r="AS189" s="435" t="s">
        <v>29</v>
      </c>
      <c r="AT189" s="435" t="s">
        <v>174</v>
      </c>
      <c r="AU189" s="435" t="s">
        <v>29</v>
      </c>
      <c r="AV189" s="437" t="s">
        <v>173</v>
      </c>
      <c r="AW189" s="435" t="s">
        <v>29</v>
      </c>
      <c r="AX189" s="435" t="s">
        <v>174</v>
      </c>
      <c r="AY189" s="435" t="s">
        <v>29</v>
      </c>
      <c r="AZ189" s="437" t="s">
        <v>173</v>
      </c>
      <c r="BA189" s="435" t="s">
        <v>29</v>
      </c>
      <c r="BB189" s="435" t="s">
        <v>174</v>
      </c>
      <c r="BC189" s="439" t="s">
        <v>29</v>
      </c>
      <c r="BD189" s="440"/>
      <c r="BE189" s="437" t="s">
        <v>173</v>
      </c>
      <c r="BF189" s="437" t="s">
        <v>174</v>
      </c>
      <c r="BG189" s="437" t="s">
        <v>173</v>
      </c>
      <c r="BH189" s="437" t="s">
        <v>174</v>
      </c>
      <c r="BI189" s="441"/>
      <c r="BJ189" s="442"/>
      <c r="BK189" s="437" t="s">
        <v>173</v>
      </c>
      <c r="BL189" s="437" t="s">
        <v>174</v>
      </c>
      <c r="BM189" s="437" t="s">
        <v>173</v>
      </c>
      <c r="BN189" s="443" t="s">
        <v>174</v>
      </c>
    </row>
    <row r="190" spans="1:66" ht="12">
      <c r="A190" s="340">
        <f>A185+1</f>
        <v>54</v>
      </c>
      <c r="B190" s="341" t="s">
        <v>50</v>
      </c>
      <c r="C190" s="340">
        <v>24</v>
      </c>
      <c r="D190" s="340"/>
      <c r="E190" s="342">
        <f t="shared" si="21"/>
        <v>0</v>
      </c>
      <c r="F190" s="342">
        <f t="shared" si="22"/>
        <v>0</v>
      </c>
      <c r="G190" s="342"/>
      <c r="H190" s="344"/>
      <c r="I190" s="342"/>
      <c r="J190" s="344"/>
      <c r="K190" s="344"/>
      <c r="L190" s="344"/>
      <c r="M190" s="342"/>
      <c r="N190" s="343"/>
      <c r="O190" s="342"/>
      <c r="P190" s="342"/>
      <c r="Q190" s="342"/>
      <c r="R190" s="344"/>
      <c r="S190" s="344"/>
      <c r="T190" s="344"/>
      <c r="U190" s="343"/>
      <c r="V190" s="342"/>
      <c r="W190" s="342"/>
      <c r="X190" s="342"/>
      <c r="Y190" s="345"/>
      <c r="Z190" s="340"/>
      <c r="AA190" s="340"/>
      <c r="AB190" s="345"/>
      <c r="AC190" s="340"/>
      <c r="AD190" s="340"/>
      <c r="AE190" s="340"/>
      <c r="AF190" s="340"/>
      <c r="AG190" s="340">
        <v>6</v>
      </c>
      <c r="AH190" s="345"/>
      <c r="AI190" s="340"/>
      <c r="AJ190" s="342"/>
      <c r="AK190" s="345"/>
      <c r="AL190" s="342"/>
      <c r="AM190" s="340"/>
      <c r="AN190" s="250"/>
      <c r="AO190" s="342"/>
      <c r="AP190" s="342"/>
      <c r="AQ190" s="342"/>
      <c r="AR190" s="344"/>
      <c r="AS190" s="342"/>
      <c r="AT190" s="342"/>
      <c r="AU190" s="342"/>
      <c r="AV190" s="344"/>
      <c r="AW190" s="342"/>
      <c r="AX190" s="342"/>
      <c r="AY190" s="342"/>
      <c r="AZ190" s="344"/>
      <c r="BA190" s="346"/>
      <c r="BB190" s="346"/>
      <c r="BC190" s="346"/>
      <c r="BD190" s="346"/>
      <c r="BE190" s="345"/>
      <c r="BF190" s="345"/>
      <c r="BG190" s="345">
        <v>2</v>
      </c>
      <c r="BH190" s="345">
        <v>2</v>
      </c>
      <c r="BI190" s="345"/>
      <c r="BJ190" s="345"/>
      <c r="BK190" s="340"/>
      <c r="BL190" s="340">
        <v>1</v>
      </c>
      <c r="BM190" s="345">
        <v>1</v>
      </c>
      <c r="BN190" s="347">
        <v>1</v>
      </c>
    </row>
    <row r="191" spans="1:66" ht="12">
      <c r="A191" s="340">
        <f t="shared" si="23"/>
        <v>55</v>
      </c>
      <c r="B191" s="341" t="s">
        <v>51</v>
      </c>
      <c r="C191" s="340">
        <v>157</v>
      </c>
      <c r="D191" s="340"/>
      <c r="E191" s="342">
        <f t="shared" si="21"/>
        <v>191.28</v>
      </c>
      <c r="F191" s="342">
        <f t="shared" si="22"/>
        <v>18.72</v>
      </c>
      <c r="G191" s="342"/>
      <c r="H191" s="344">
        <v>0.34</v>
      </c>
      <c r="I191" s="342">
        <f>H191*475</f>
        <v>161.5</v>
      </c>
      <c r="J191" s="344"/>
      <c r="K191" s="342"/>
      <c r="L191" s="344">
        <v>0.073</v>
      </c>
      <c r="M191" s="344">
        <f>L191*360</f>
        <v>26.279999999999998</v>
      </c>
      <c r="N191" s="343">
        <v>0.052</v>
      </c>
      <c r="O191" s="342">
        <f>N191*360</f>
        <v>18.72</v>
      </c>
      <c r="P191" s="344">
        <v>0.01</v>
      </c>
      <c r="Q191" s="344">
        <f>P191*350</f>
        <v>3.5</v>
      </c>
      <c r="R191" s="344"/>
      <c r="S191" s="344"/>
      <c r="T191" s="344"/>
      <c r="U191" s="343"/>
      <c r="V191" s="342"/>
      <c r="W191" s="342"/>
      <c r="X191" s="342"/>
      <c r="Y191" s="345"/>
      <c r="Z191" s="340"/>
      <c r="AA191" s="340"/>
      <c r="AB191" s="345"/>
      <c r="AC191" s="340"/>
      <c r="AD191" s="340"/>
      <c r="AE191" s="340"/>
      <c r="AF191" s="340"/>
      <c r="AG191" s="340">
        <v>36</v>
      </c>
      <c r="AH191" s="345"/>
      <c r="AI191" s="340"/>
      <c r="AJ191" s="342"/>
      <c r="AK191" s="345"/>
      <c r="AL191" s="342"/>
      <c r="AM191" s="340"/>
      <c r="AN191" s="250"/>
      <c r="AO191" s="342"/>
      <c r="AP191" s="344"/>
      <c r="AQ191" s="342"/>
      <c r="AR191" s="344"/>
      <c r="AS191" s="342"/>
      <c r="AT191" s="343"/>
      <c r="AU191" s="342"/>
      <c r="AV191" s="344"/>
      <c r="AW191" s="342"/>
      <c r="AX191" s="342"/>
      <c r="AY191" s="342"/>
      <c r="AZ191" s="344"/>
      <c r="BA191" s="342"/>
      <c r="BB191" s="346"/>
      <c r="BC191" s="346"/>
      <c r="BD191" s="346"/>
      <c r="BE191" s="345"/>
      <c r="BF191" s="345"/>
      <c r="BG191" s="345">
        <v>4</v>
      </c>
      <c r="BH191" s="345">
        <v>4</v>
      </c>
      <c r="BI191" s="345"/>
      <c r="BJ191" s="345"/>
      <c r="BK191" s="340">
        <v>1</v>
      </c>
      <c r="BL191" s="340">
        <v>1</v>
      </c>
      <c r="BM191" s="345">
        <v>1</v>
      </c>
      <c r="BN191" s="347"/>
    </row>
    <row r="192" spans="1:66" ht="24">
      <c r="A192" s="340">
        <f t="shared" si="23"/>
        <v>56</v>
      </c>
      <c r="B192" s="341" t="s">
        <v>83</v>
      </c>
      <c r="C192" s="340">
        <v>2</v>
      </c>
      <c r="D192" s="340"/>
      <c r="E192" s="342">
        <f t="shared" si="21"/>
        <v>0</v>
      </c>
      <c r="F192" s="342">
        <f t="shared" si="22"/>
        <v>2</v>
      </c>
      <c r="G192" s="342"/>
      <c r="H192" s="344"/>
      <c r="I192" s="342"/>
      <c r="J192" s="344"/>
      <c r="K192" s="342"/>
      <c r="L192" s="344"/>
      <c r="M192" s="342"/>
      <c r="N192" s="343"/>
      <c r="O192" s="342"/>
      <c r="P192" s="344"/>
      <c r="Q192" s="344"/>
      <c r="R192" s="344"/>
      <c r="S192" s="344"/>
      <c r="T192" s="344"/>
      <c r="U192" s="343"/>
      <c r="V192" s="342"/>
      <c r="W192" s="342"/>
      <c r="X192" s="342"/>
      <c r="Y192" s="345"/>
      <c r="Z192" s="340"/>
      <c r="AA192" s="340"/>
      <c r="AB192" s="345"/>
      <c r="AC192" s="340"/>
      <c r="AD192" s="340"/>
      <c r="AE192" s="340"/>
      <c r="AF192" s="340"/>
      <c r="AG192" s="340">
        <v>4</v>
      </c>
      <c r="AH192" s="345"/>
      <c r="AI192" s="340"/>
      <c r="AJ192" s="342"/>
      <c r="AK192" s="345"/>
      <c r="AL192" s="342"/>
      <c r="AM192" s="340"/>
      <c r="AN192" s="250"/>
      <c r="AO192" s="342"/>
      <c r="AP192" s="250" t="s">
        <v>136</v>
      </c>
      <c r="AQ192" s="342">
        <v>2</v>
      </c>
      <c r="AR192" s="344"/>
      <c r="AS192" s="342"/>
      <c r="AT192" s="342"/>
      <c r="AU192" s="342"/>
      <c r="AV192" s="344"/>
      <c r="AW192" s="342"/>
      <c r="AX192" s="342"/>
      <c r="AY192" s="342"/>
      <c r="AZ192" s="344"/>
      <c r="BA192" s="346"/>
      <c r="BB192" s="346"/>
      <c r="BC192" s="346"/>
      <c r="BD192" s="346"/>
      <c r="BE192" s="345">
        <v>2</v>
      </c>
      <c r="BF192" s="356" t="s">
        <v>194</v>
      </c>
      <c r="BG192" s="345">
        <v>2</v>
      </c>
      <c r="BH192" s="345">
        <v>2</v>
      </c>
      <c r="BI192" s="345"/>
      <c r="BJ192" s="345"/>
      <c r="BK192" s="340">
        <v>1</v>
      </c>
      <c r="BL192" s="340">
        <v>1</v>
      </c>
      <c r="BM192" s="345">
        <v>1</v>
      </c>
      <c r="BN192" s="347">
        <v>1</v>
      </c>
    </row>
    <row r="193" spans="1:66" ht="24">
      <c r="A193" s="340">
        <f t="shared" si="23"/>
        <v>57</v>
      </c>
      <c r="B193" s="341" t="s">
        <v>83</v>
      </c>
      <c r="C193" s="340">
        <v>6</v>
      </c>
      <c r="D193" s="340"/>
      <c r="E193" s="342">
        <f t="shared" si="21"/>
        <v>32.544</v>
      </c>
      <c r="F193" s="342">
        <f t="shared" si="22"/>
        <v>17.25</v>
      </c>
      <c r="G193" s="342"/>
      <c r="H193" s="344">
        <v>0.03</v>
      </c>
      <c r="I193" s="342">
        <f>H193*475</f>
        <v>14.25</v>
      </c>
      <c r="J193" s="344">
        <v>0.03</v>
      </c>
      <c r="K193" s="342">
        <f>J193*475</f>
        <v>14.25</v>
      </c>
      <c r="L193" s="344"/>
      <c r="M193" s="342"/>
      <c r="N193" s="343"/>
      <c r="O193" s="342"/>
      <c r="P193" s="344"/>
      <c r="Q193" s="344"/>
      <c r="R193" s="344"/>
      <c r="S193" s="344"/>
      <c r="T193" s="344"/>
      <c r="U193" s="343"/>
      <c r="V193" s="342"/>
      <c r="W193" s="342"/>
      <c r="X193" s="342"/>
      <c r="Y193" s="345"/>
      <c r="Z193" s="340"/>
      <c r="AA193" s="340">
        <v>4</v>
      </c>
      <c r="AB193" s="345">
        <v>4</v>
      </c>
      <c r="AC193" s="340"/>
      <c r="AD193" s="340"/>
      <c r="AE193" s="340"/>
      <c r="AF193" s="340"/>
      <c r="AG193" s="340">
        <v>6</v>
      </c>
      <c r="AH193" s="345">
        <v>6</v>
      </c>
      <c r="AI193" s="340"/>
      <c r="AJ193" s="342"/>
      <c r="AK193" s="345"/>
      <c r="AL193" s="342"/>
      <c r="AM193" s="340"/>
      <c r="AN193" s="250" t="s">
        <v>52</v>
      </c>
      <c r="AO193" s="342">
        <f>9.147*2</f>
        <v>18.294</v>
      </c>
      <c r="AP193" s="250" t="s">
        <v>136</v>
      </c>
      <c r="AQ193" s="342">
        <v>3</v>
      </c>
      <c r="AR193" s="344"/>
      <c r="AS193" s="342"/>
      <c r="AT193" s="342"/>
      <c r="AU193" s="342"/>
      <c r="AV193" s="344"/>
      <c r="AW193" s="342"/>
      <c r="AX193" s="344"/>
      <c r="AY193" s="342"/>
      <c r="AZ193" s="344"/>
      <c r="BA193" s="346"/>
      <c r="BB193" s="346"/>
      <c r="BC193" s="346"/>
      <c r="BD193" s="346"/>
      <c r="BE193" s="345">
        <v>2</v>
      </c>
      <c r="BF193" s="345">
        <v>2</v>
      </c>
      <c r="BG193" s="345">
        <v>2</v>
      </c>
      <c r="BH193" s="345">
        <v>2</v>
      </c>
      <c r="BI193" s="345"/>
      <c r="BJ193" s="345"/>
      <c r="BK193" s="340">
        <v>1</v>
      </c>
      <c r="BL193" s="340">
        <v>1</v>
      </c>
      <c r="BM193" s="345">
        <v>1</v>
      </c>
      <c r="BN193" s="347"/>
    </row>
    <row r="194" spans="1:66" ht="12">
      <c r="A194" s="340">
        <f t="shared" si="23"/>
        <v>58</v>
      </c>
      <c r="B194" s="341" t="s">
        <v>83</v>
      </c>
      <c r="C194" s="340">
        <v>8</v>
      </c>
      <c r="D194" s="340"/>
      <c r="E194" s="342">
        <f t="shared" si="21"/>
        <v>63.64</v>
      </c>
      <c r="F194" s="342">
        <f t="shared" si="22"/>
        <v>67.636</v>
      </c>
      <c r="G194" s="342"/>
      <c r="H194" s="344">
        <v>0.04</v>
      </c>
      <c r="I194" s="342">
        <f>H194*475</f>
        <v>19</v>
      </c>
      <c r="J194" s="344">
        <v>0.04</v>
      </c>
      <c r="K194" s="342">
        <f>J194*475</f>
        <v>19</v>
      </c>
      <c r="L194" s="344">
        <v>0.124</v>
      </c>
      <c r="M194" s="344">
        <f>L194*360</f>
        <v>44.64</v>
      </c>
      <c r="N194" s="343">
        <v>0.1351</v>
      </c>
      <c r="O194" s="342">
        <f>N194*360</f>
        <v>48.635999999999996</v>
      </c>
      <c r="P194" s="344"/>
      <c r="Q194" s="344"/>
      <c r="R194" s="344"/>
      <c r="S194" s="344"/>
      <c r="T194" s="344"/>
      <c r="U194" s="343"/>
      <c r="V194" s="342"/>
      <c r="W194" s="342"/>
      <c r="X194" s="342"/>
      <c r="Y194" s="345"/>
      <c r="Z194" s="340"/>
      <c r="AA194" s="340"/>
      <c r="AB194" s="345"/>
      <c r="AC194" s="340"/>
      <c r="AD194" s="340"/>
      <c r="AE194" s="340"/>
      <c r="AF194" s="340"/>
      <c r="AG194" s="340"/>
      <c r="AH194" s="345"/>
      <c r="AI194" s="340"/>
      <c r="AJ194" s="342"/>
      <c r="AK194" s="345"/>
      <c r="AL194" s="342"/>
      <c r="AM194" s="340"/>
      <c r="AN194" s="250"/>
      <c r="AO194" s="342"/>
      <c r="AP194" s="342"/>
      <c r="AQ194" s="342"/>
      <c r="AR194" s="344"/>
      <c r="AS194" s="342"/>
      <c r="AT194" s="344"/>
      <c r="AU194" s="342"/>
      <c r="AV194" s="344"/>
      <c r="AW194" s="342"/>
      <c r="AX194" s="344"/>
      <c r="AY194" s="342"/>
      <c r="AZ194" s="344"/>
      <c r="BA194" s="346"/>
      <c r="BB194" s="346"/>
      <c r="BC194" s="346"/>
      <c r="BD194" s="346"/>
      <c r="BE194" s="345">
        <v>1</v>
      </c>
      <c r="BF194" s="345">
        <v>1</v>
      </c>
      <c r="BG194" s="345">
        <v>1</v>
      </c>
      <c r="BH194" s="345">
        <v>1</v>
      </c>
      <c r="BI194" s="345"/>
      <c r="BJ194" s="345"/>
      <c r="BK194" s="340">
        <v>1</v>
      </c>
      <c r="BL194" s="340">
        <v>1</v>
      </c>
      <c r="BM194" s="345">
        <v>1</v>
      </c>
      <c r="BN194" s="347"/>
    </row>
    <row r="195" spans="1:66" ht="24">
      <c r="A195" s="340">
        <f t="shared" si="23"/>
        <v>59</v>
      </c>
      <c r="B195" s="341" t="s">
        <v>83</v>
      </c>
      <c r="C195" s="340">
        <v>10</v>
      </c>
      <c r="D195" s="340"/>
      <c r="E195" s="342">
        <f t="shared" si="21"/>
        <v>6</v>
      </c>
      <c r="F195" s="342">
        <f t="shared" si="22"/>
        <v>7.404</v>
      </c>
      <c r="G195" s="342"/>
      <c r="H195" s="344"/>
      <c r="I195" s="342"/>
      <c r="J195" s="344"/>
      <c r="K195" s="344"/>
      <c r="L195" s="344"/>
      <c r="M195" s="342"/>
      <c r="N195" s="343">
        <v>0.0039</v>
      </c>
      <c r="O195" s="342">
        <f>N195*360</f>
        <v>1.404</v>
      </c>
      <c r="P195" s="344"/>
      <c r="Q195" s="344"/>
      <c r="R195" s="344"/>
      <c r="S195" s="344"/>
      <c r="T195" s="344"/>
      <c r="U195" s="343"/>
      <c r="V195" s="342"/>
      <c r="W195" s="342"/>
      <c r="X195" s="342"/>
      <c r="Y195" s="345"/>
      <c r="Z195" s="340"/>
      <c r="AA195" s="340"/>
      <c r="AB195" s="345"/>
      <c r="AC195" s="340"/>
      <c r="AD195" s="340"/>
      <c r="AE195" s="340"/>
      <c r="AF195" s="340"/>
      <c r="AG195" s="340">
        <v>2</v>
      </c>
      <c r="AH195" s="345">
        <v>2</v>
      </c>
      <c r="AI195" s="340"/>
      <c r="AJ195" s="342"/>
      <c r="AK195" s="345"/>
      <c r="AL195" s="342"/>
      <c r="AM195" s="340"/>
      <c r="AN195" s="250" t="s">
        <v>187</v>
      </c>
      <c r="AO195" s="342">
        <v>6</v>
      </c>
      <c r="AP195" s="342" t="s">
        <v>180</v>
      </c>
      <c r="AQ195" s="342">
        <f>AO195</f>
        <v>6</v>
      </c>
      <c r="AR195" s="344"/>
      <c r="AS195" s="342"/>
      <c r="AT195" s="342"/>
      <c r="AU195" s="342"/>
      <c r="AV195" s="344"/>
      <c r="AW195" s="342"/>
      <c r="AX195" s="342"/>
      <c r="AY195" s="342"/>
      <c r="AZ195" s="344"/>
      <c r="BA195" s="346"/>
      <c r="BB195" s="346"/>
      <c r="BC195" s="346"/>
      <c r="BD195" s="346"/>
      <c r="BE195" s="345">
        <v>1</v>
      </c>
      <c r="BF195" s="345">
        <v>1</v>
      </c>
      <c r="BG195" s="345">
        <v>1</v>
      </c>
      <c r="BH195" s="345">
        <v>1</v>
      </c>
      <c r="BI195" s="345"/>
      <c r="BJ195" s="345"/>
      <c r="BK195" s="340">
        <v>1</v>
      </c>
      <c r="BL195" s="340">
        <v>1</v>
      </c>
      <c r="BM195" s="345">
        <v>1</v>
      </c>
      <c r="BN195" s="347">
        <v>1</v>
      </c>
    </row>
    <row r="196" spans="1:66" ht="12">
      <c r="A196" s="340">
        <f t="shared" si="23"/>
        <v>60</v>
      </c>
      <c r="B196" s="341" t="s">
        <v>83</v>
      </c>
      <c r="C196" s="340">
        <v>10</v>
      </c>
      <c r="D196" s="340" t="s">
        <v>41</v>
      </c>
      <c r="E196" s="342">
        <f t="shared" si="21"/>
        <v>0</v>
      </c>
      <c r="F196" s="342">
        <f t="shared" si="22"/>
        <v>0</v>
      </c>
      <c r="G196" s="342"/>
      <c r="H196" s="344"/>
      <c r="I196" s="342"/>
      <c r="J196" s="344"/>
      <c r="K196" s="344"/>
      <c r="L196" s="344"/>
      <c r="M196" s="342"/>
      <c r="N196" s="343"/>
      <c r="O196" s="342"/>
      <c r="P196" s="344"/>
      <c r="Q196" s="344"/>
      <c r="R196" s="344"/>
      <c r="S196" s="344"/>
      <c r="T196" s="344"/>
      <c r="U196" s="343"/>
      <c r="V196" s="342"/>
      <c r="W196" s="342"/>
      <c r="X196" s="342"/>
      <c r="Y196" s="345"/>
      <c r="Z196" s="340"/>
      <c r="AA196" s="340"/>
      <c r="AB196" s="345"/>
      <c r="AC196" s="340"/>
      <c r="AD196" s="340"/>
      <c r="AE196" s="340"/>
      <c r="AF196" s="340"/>
      <c r="AG196" s="340">
        <v>4</v>
      </c>
      <c r="AH196" s="345">
        <v>4</v>
      </c>
      <c r="AI196" s="340"/>
      <c r="AJ196" s="342"/>
      <c r="AK196" s="345"/>
      <c r="AL196" s="342"/>
      <c r="AM196" s="340"/>
      <c r="AN196" s="250"/>
      <c r="AO196" s="342"/>
      <c r="AP196" s="342"/>
      <c r="AQ196" s="342"/>
      <c r="AR196" s="344"/>
      <c r="AS196" s="342"/>
      <c r="AT196" s="342"/>
      <c r="AU196" s="342"/>
      <c r="AV196" s="344"/>
      <c r="AW196" s="342"/>
      <c r="AX196" s="342"/>
      <c r="AY196" s="342"/>
      <c r="AZ196" s="344"/>
      <c r="BA196" s="346"/>
      <c r="BB196" s="346"/>
      <c r="BC196" s="346"/>
      <c r="BD196" s="346"/>
      <c r="BE196" s="345">
        <v>1</v>
      </c>
      <c r="BF196" s="345">
        <v>1</v>
      </c>
      <c r="BG196" s="345">
        <v>1</v>
      </c>
      <c r="BH196" s="345">
        <v>1</v>
      </c>
      <c r="BI196" s="345"/>
      <c r="BJ196" s="345"/>
      <c r="BK196" s="340">
        <v>1</v>
      </c>
      <c r="BL196" s="340">
        <v>1</v>
      </c>
      <c r="BM196" s="345">
        <v>1</v>
      </c>
      <c r="BN196" s="347">
        <v>1</v>
      </c>
    </row>
    <row r="197" spans="1:66" ht="24">
      <c r="A197" s="340">
        <f t="shared" si="23"/>
        <v>61</v>
      </c>
      <c r="B197" s="341" t="s">
        <v>83</v>
      </c>
      <c r="C197" s="340">
        <v>12</v>
      </c>
      <c r="D197" s="340"/>
      <c r="E197" s="342">
        <f t="shared" si="21"/>
        <v>65.03999999999999</v>
      </c>
      <c r="F197" s="342">
        <f t="shared" si="22"/>
        <v>72.49600000000001</v>
      </c>
      <c r="G197" s="342"/>
      <c r="H197" s="344"/>
      <c r="I197" s="342"/>
      <c r="J197" s="344"/>
      <c r="K197" s="342"/>
      <c r="L197" s="344">
        <v>0.164</v>
      </c>
      <c r="M197" s="344">
        <f>L197*360</f>
        <v>59.04</v>
      </c>
      <c r="N197" s="343">
        <v>0.1736</v>
      </c>
      <c r="O197" s="342">
        <f>N197*360</f>
        <v>62.496</v>
      </c>
      <c r="P197" s="344"/>
      <c r="Q197" s="344"/>
      <c r="R197" s="344"/>
      <c r="S197" s="344"/>
      <c r="T197" s="344"/>
      <c r="U197" s="343"/>
      <c r="V197" s="342"/>
      <c r="W197" s="342"/>
      <c r="X197" s="342"/>
      <c r="Y197" s="345"/>
      <c r="Z197" s="340"/>
      <c r="AA197" s="340"/>
      <c r="AB197" s="345"/>
      <c r="AC197" s="340"/>
      <c r="AD197" s="340"/>
      <c r="AE197" s="340"/>
      <c r="AF197" s="340"/>
      <c r="AG197" s="340"/>
      <c r="AH197" s="345"/>
      <c r="AI197" s="340"/>
      <c r="AJ197" s="342"/>
      <c r="AK197" s="345"/>
      <c r="AL197" s="342"/>
      <c r="AM197" s="340"/>
      <c r="AN197" s="250" t="s">
        <v>185</v>
      </c>
      <c r="AO197" s="342">
        <v>6</v>
      </c>
      <c r="AP197" s="342" t="s">
        <v>195</v>
      </c>
      <c r="AQ197" s="342">
        <v>3</v>
      </c>
      <c r="AR197" s="344"/>
      <c r="AS197" s="342"/>
      <c r="AT197" s="249" t="s">
        <v>196</v>
      </c>
      <c r="AU197" s="342">
        <v>7</v>
      </c>
      <c r="AV197" s="344"/>
      <c r="AW197" s="342"/>
      <c r="AX197" s="342"/>
      <c r="AY197" s="342"/>
      <c r="AZ197" s="344"/>
      <c r="BA197" s="346"/>
      <c r="BB197" s="346"/>
      <c r="BC197" s="346"/>
      <c r="BD197" s="346"/>
      <c r="BE197" s="345">
        <v>1</v>
      </c>
      <c r="BF197" s="345">
        <v>1</v>
      </c>
      <c r="BG197" s="345">
        <v>1</v>
      </c>
      <c r="BH197" s="345">
        <v>1</v>
      </c>
      <c r="BI197" s="345"/>
      <c r="BJ197" s="345"/>
      <c r="BK197" s="340">
        <v>1</v>
      </c>
      <c r="BL197" s="340">
        <v>1</v>
      </c>
      <c r="BM197" s="345">
        <v>1</v>
      </c>
      <c r="BN197" s="347"/>
    </row>
    <row r="198" spans="1:66" ht="12">
      <c r="A198" s="349">
        <f>A197</f>
        <v>61</v>
      </c>
      <c r="B198" s="350" t="s">
        <v>197</v>
      </c>
      <c r="C198" s="352"/>
      <c r="D198" s="352"/>
      <c r="E198" s="352">
        <f>SUM(E129:E197)</f>
        <v>1454.1530000000002</v>
      </c>
      <c r="F198" s="352">
        <f>SUM(F129:F197)</f>
        <v>1321.5265</v>
      </c>
      <c r="G198" s="352">
        <f>SUM(G129:G197)</f>
        <v>0</v>
      </c>
      <c r="H198" s="354">
        <f>SUM(H129:H197)</f>
        <v>1.5900000000000003</v>
      </c>
      <c r="I198" s="352">
        <f>SUM(I129:I197)</f>
        <v>755.25</v>
      </c>
      <c r="J198" s="354">
        <f>SUM(J129:J197)</f>
        <v>1.1970000000000003</v>
      </c>
      <c r="K198" s="354">
        <f>SUM(K129:K197)</f>
        <v>568.575</v>
      </c>
      <c r="L198" s="354">
        <f>SUM(L129:L197)</f>
        <v>1.0595</v>
      </c>
      <c r="M198" s="352">
        <f>SUM(M129:M197)</f>
        <v>381.41999999999996</v>
      </c>
      <c r="N198" s="353">
        <f>SUM(N129:N197)</f>
        <v>0.8924000000000001</v>
      </c>
      <c r="O198" s="352">
        <f>SUM(O129:O197)</f>
        <v>321.264</v>
      </c>
      <c r="P198" s="354">
        <f>SUM(P129:P197)</f>
        <v>0.138</v>
      </c>
      <c r="Q198" s="354">
        <f>SUM(Q129:Q197)</f>
        <v>48.300000000000004</v>
      </c>
      <c r="R198" s="352">
        <f>SUM(R129:R197)</f>
        <v>0.128</v>
      </c>
      <c r="S198" s="352">
        <f>SUM(S129:S197)</f>
        <v>44.800000000000004</v>
      </c>
      <c r="T198" s="352">
        <f>SUM(T129:T197)</f>
        <v>0</v>
      </c>
      <c r="U198" s="353">
        <f>SUM(U129:U197)</f>
        <v>0</v>
      </c>
      <c r="V198" s="352">
        <f>U198*1100</f>
        <v>0</v>
      </c>
      <c r="W198" s="352">
        <f>SUM(W129:W197)</f>
        <v>0</v>
      </c>
      <c r="X198" s="352">
        <f>SUM(X129:X197)</f>
        <v>0</v>
      </c>
      <c r="Y198" s="349">
        <f>SUM(Y129:Y197)</f>
        <v>0</v>
      </c>
      <c r="Z198" s="352">
        <f>SUM(Z129:Z197)</f>
        <v>0</v>
      </c>
      <c r="AA198" s="349">
        <f>SUM(AA129:AA197)</f>
        <v>34</v>
      </c>
      <c r="AB198" s="349">
        <f>SUM(AB129:AB197)</f>
        <v>12</v>
      </c>
      <c r="AC198" s="349">
        <f>SUM(AC129:AC197)</f>
        <v>0</v>
      </c>
      <c r="AD198" s="352">
        <f>SUM(AD129:AD197)</f>
        <v>0</v>
      </c>
      <c r="AE198" s="349">
        <f>SUM(AE129:AE197)</f>
        <v>0</v>
      </c>
      <c r="AF198" s="352">
        <f>SUM(AF129:AF197)</f>
        <v>0</v>
      </c>
      <c r="AG198" s="349">
        <f>SUM(AG129:AG197)</f>
        <v>625</v>
      </c>
      <c r="AH198" s="349">
        <f>SUM(AH129:AH197)</f>
        <v>505</v>
      </c>
      <c r="AI198" s="349">
        <f>SUM(AI129:AI197)</f>
        <v>0</v>
      </c>
      <c r="AJ198" s="352">
        <f>SUM(AJ129:AJ197)</f>
        <v>0</v>
      </c>
      <c r="AK198" s="349">
        <f>SUM(AK129:AK197)</f>
        <v>0</v>
      </c>
      <c r="AL198" s="352">
        <f>SUM(AL129:AL197)</f>
        <v>0</v>
      </c>
      <c r="AM198" s="352">
        <f>SUM(AM129:AM197)</f>
        <v>0</v>
      </c>
      <c r="AN198" s="354">
        <f>SUM(AN129:AN197)</f>
        <v>0</v>
      </c>
      <c r="AO198" s="352">
        <f>SUM(AO129:AO197)</f>
        <v>252.946</v>
      </c>
      <c r="AP198" s="352">
        <f>SUM(AP129:AP197)</f>
        <v>0</v>
      </c>
      <c r="AQ198" s="352">
        <f>SUM(AQ129:AQ197)</f>
        <v>321.4685</v>
      </c>
      <c r="AR198" s="352">
        <f>SUM(AR129:AR197)</f>
        <v>0.016</v>
      </c>
      <c r="AS198" s="352">
        <f>SUM(AS129:AS197)</f>
        <v>16.237</v>
      </c>
      <c r="AT198" s="352">
        <f>SUM(AT129:AT197)</f>
        <v>0.222</v>
      </c>
      <c r="AU198" s="352">
        <f>SUM(AU129:AU197)</f>
        <v>59.069</v>
      </c>
      <c r="AV198" s="352">
        <f>SUM(AV129:AV197)</f>
        <v>0</v>
      </c>
      <c r="AW198" s="352">
        <f>SUM(AW129:AW197)</f>
        <v>0</v>
      </c>
      <c r="AX198" s="352">
        <f>SUM(AX129:AX197)</f>
        <v>0</v>
      </c>
      <c r="AY198" s="352">
        <f>SUM(AY129:AY197)</f>
        <v>0</v>
      </c>
      <c r="AZ198" s="354">
        <f>SUM(AZ129:AZ197)</f>
        <v>0</v>
      </c>
      <c r="BA198" s="352">
        <f>SUM(BA129:BA197)</f>
        <v>0</v>
      </c>
      <c r="BB198" s="352">
        <f>SUM(BB129:BB197)</f>
        <v>0.008</v>
      </c>
      <c r="BC198" s="352">
        <f>SUM(BC129:BC197)</f>
        <v>6.35</v>
      </c>
      <c r="BD198" s="352">
        <f>SUM(BD129:BD197)</f>
        <v>0</v>
      </c>
      <c r="BE198" s="349">
        <f>SUM(BE129:BE197)</f>
        <v>29</v>
      </c>
      <c r="BF198" s="349">
        <f>SUM(BF129:BF197)+3</f>
        <v>30</v>
      </c>
      <c r="BG198" s="349">
        <f>SUM(BG129:BG197)</f>
        <v>174</v>
      </c>
      <c r="BH198" s="349">
        <f>SUM(BH129:BH197)</f>
        <v>174</v>
      </c>
      <c r="BI198" s="349">
        <f>SUM(BI129:BI197)</f>
        <v>0</v>
      </c>
      <c r="BJ198" s="349">
        <f>SUM(BJ129:BJ197)</f>
        <v>0</v>
      </c>
      <c r="BK198" s="349">
        <f>SUM(BK129:BK197)</f>
        <v>33</v>
      </c>
      <c r="BL198" s="349">
        <f>SUM(BL129:BL197)</f>
        <v>60</v>
      </c>
      <c r="BM198" s="349">
        <f>SUM(BM129:BM197)</f>
        <v>61</v>
      </c>
      <c r="BN198" s="349">
        <f>SUM(BN129:BN197)</f>
        <v>46</v>
      </c>
    </row>
    <row r="199" spans="1:66" ht="12">
      <c r="A199" s="340">
        <v>1</v>
      </c>
      <c r="B199" s="341" t="s">
        <v>51</v>
      </c>
      <c r="C199" s="340">
        <v>106</v>
      </c>
      <c r="D199" s="340"/>
      <c r="E199" s="342">
        <f aca="true" t="shared" si="24" ref="E199:E211">I199+M199+Q199+V199+Z199+AD199+AJ199+AO199+AS199+AW199+BA199</f>
        <v>2.608</v>
      </c>
      <c r="F199" s="342">
        <f aca="true" t="shared" si="25" ref="F199:F211">K199+O199+S199+X199+AF199+AL199+AQ199+AU199+AY199+BC199</f>
        <v>0</v>
      </c>
      <c r="G199" s="342"/>
      <c r="H199" s="344">
        <v>0.008</v>
      </c>
      <c r="I199" s="342">
        <f>H199*326</f>
        <v>2.608</v>
      </c>
      <c r="J199" s="342"/>
      <c r="K199" s="342"/>
      <c r="L199" s="344"/>
      <c r="M199" s="342"/>
      <c r="N199" s="343"/>
      <c r="O199" s="342"/>
      <c r="P199" s="344"/>
      <c r="Q199" s="344"/>
      <c r="R199" s="344"/>
      <c r="S199" s="344"/>
      <c r="T199" s="344"/>
      <c r="U199" s="343"/>
      <c r="V199" s="342"/>
      <c r="W199" s="342"/>
      <c r="X199" s="342"/>
      <c r="Y199" s="345"/>
      <c r="Z199" s="340"/>
      <c r="AA199" s="340"/>
      <c r="AB199" s="345"/>
      <c r="AC199" s="340"/>
      <c r="AD199" s="340"/>
      <c r="AE199" s="345"/>
      <c r="AF199" s="340"/>
      <c r="AG199" s="340">
        <v>2</v>
      </c>
      <c r="AH199" s="345"/>
      <c r="AI199" s="340"/>
      <c r="AJ199" s="342"/>
      <c r="AK199" s="345"/>
      <c r="AL199" s="342"/>
      <c r="AM199" s="340"/>
      <c r="AN199" s="344"/>
      <c r="AO199" s="342"/>
      <c r="AP199" s="342"/>
      <c r="AQ199" s="342"/>
      <c r="AR199" s="344"/>
      <c r="AS199" s="342"/>
      <c r="AT199" s="342"/>
      <c r="AU199" s="342"/>
      <c r="AV199" s="344"/>
      <c r="AW199" s="342"/>
      <c r="AX199" s="342"/>
      <c r="AY199" s="342"/>
      <c r="AZ199" s="344"/>
      <c r="BA199" s="346"/>
      <c r="BB199" s="346"/>
      <c r="BC199" s="346"/>
      <c r="BD199" s="346"/>
      <c r="BE199" s="345"/>
      <c r="BF199" s="345"/>
      <c r="BG199" s="345">
        <v>5</v>
      </c>
      <c r="BH199" s="345">
        <f>BG199</f>
        <v>5</v>
      </c>
      <c r="BI199" s="345"/>
      <c r="BJ199" s="345"/>
      <c r="BK199" s="340"/>
      <c r="BL199" s="345">
        <v>1</v>
      </c>
      <c r="BM199" s="345">
        <v>1</v>
      </c>
      <c r="BN199" s="347">
        <v>1</v>
      </c>
    </row>
    <row r="200" spans="1:66" s="355" customFormat="1" ht="12">
      <c r="A200" s="340">
        <f aca="true" t="shared" si="26" ref="A200:A206">A199+1</f>
        <v>2</v>
      </c>
      <c r="B200" s="341" t="s">
        <v>51</v>
      </c>
      <c r="C200" s="340">
        <v>106</v>
      </c>
      <c r="D200" s="340" t="s">
        <v>41</v>
      </c>
      <c r="E200" s="342">
        <f t="shared" si="24"/>
        <v>0</v>
      </c>
      <c r="F200" s="342">
        <f t="shared" si="25"/>
        <v>0</v>
      </c>
      <c r="G200" s="342"/>
      <c r="H200" s="344"/>
      <c r="I200" s="342"/>
      <c r="J200" s="342"/>
      <c r="K200" s="342"/>
      <c r="L200" s="344"/>
      <c r="M200" s="342"/>
      <c r="N200" s="343"/>
      <c r="O200" s="342"/>
      <c r="P200" s="344"/>
      <c r="Q200" s="344"/>
      <c r="R200" s="344"/>
      <c r="S200" s="344"/>
      <c r="T200" s="344"/>
      <c r="U200" s="343"/>
      <c r="V200" s="342"/>
      <c r="W200" s="342"/>
      <c r="X200" s="342"/>
      <c r="Y200" s="345"/>
      <c r="Z200" s="340"/>
      <c r="AA200" s="340"/>
      <c r="AB200" s="345"/>
      <c r="AC200" s="340"/>
      <c r="AD200" s="340"/>
      <c r="AE200" s="345"/>
      <c r="AF200" s="340"/>
      <c r="AG200" s="340">
        <v>3</v>
      </c>
      <c r="AH200" s="345"/>
      <c r="AI200" s="340"/>
      <c r="AJ200" s="342"/>
      <c r="AK200" s="345"/>
      <c r="AL200" s="342"/>
      <c r="AM200" s="340"/>
      <c r="AN200" s="344"/>
      <c r="AO200" s="342"/>
      <c r="AP200" s="342"/>
      <c r="AQ200" s="342"/>
      <c r="AR200" s="344"/>
      <c r="AS200" s="342"/>
      <c r="AT200" s="342"/>
      <c r="AU200" s="342"/>
      <c r="AV200" s="344"/>
      <c r="AW200" s="342"/>
      <c r="AX200" s="342"/>
      <c r="AY200" s="342"/>
      <c r="AZ200" s="344"/>
      <c r="BA200" s="346"/>
      <c r="BB200" s="346"/>
      <c r="BC200" s="346"/>
      <c r="BD200" s="346"/>
      <c r="BE200" s="345"/>
      <c r="BF200" s="345"/>
      <c r="BG200" s="345">
        <v>3</v>
      </c>
      <c r="BH200" s="345">
        <f aca="true" t="shared" si="27" ref="BH200:BH206">BG200</f>
        <v>3</v>
      </c>
      <c r="BI200" s="345"/>
      <c r="BJ200" s="345"/>
      <c r="BK200" s="340"/>
      <c r="BL200" s="345">
        <v>1</v>
      </c>
      <c r="BM200" s="345">
        <v>1</v>
      </c>
      <c r="BN200" s="347">
        <v>1</v>
      </c>
    </row>
    <row r="201" spans="1:66" ht="12">
      <c r="A201" s="340">
        <f t="shared" si="26"/>
        <v>3</v>
      </c>
      <c r="B201" s="341" t="s">
        <v>51</v>
      </c>
      <c r="C201" s="340">
        <v>106</v>
      </c>
      <c r="D201" s="340" t="s">
        <v>40</v>
      </c>
      <c r="E201" s="342">
        <f t="shared" si="24"/>
        <v>0</v>
      </c>
      <c r="F201" s="342">
        <f t="shared" si="25"/>
        <v>0</v>
      </c>
      <c r="G201" s="342"/>
      <c r="H201" s="344"/>
      <c r="I201" s="342"/>
      <c r="J201" s="342"/>
      <c r="K201" s="342"/>
      <c r="L201" s="344"/>
      <c r="M201" s="342"/>
      <c r="N201" s="343"/>
      <c r="O201" s="342"/>
      <c r="P201" s="344"/>
      <c r="Q201" s="344"/>
      <c r="R201" s="344"/>
      <c r="S201" s="344"/>
      <c r="T201" s="344"/>
      <c r="U201" s="343"/>
      <c r="V201" s="342"/>
      <c r="W201" s="342"/>
      <c r="X201" s="342"/>
      <c r="Y201" s="345"/>
      <c r="Z201" s="340"/>
      <c r="AA201" s="340"/>
      <c r="AB201" s="345"/>
      <c r="AC201" s="340"/>
      <c r="AD201" s="340"/>
      <c r="AE201" s="345"/>
      <c r="AF201" s="340"/>
      <c r="AG201" s="340"/>
      <c r="AH201" s="345"/>
      <c r="AI201" s="340"/>
      <c r="AJ201" s="342"/>
      <c r="AK201" s="345"/>
      <c r="AL201" s="342"/>
      <c r="AM201" s="340"/>
      <c r="AN201" s="344"/>
      <c r="AO201" s="342"/>
      <c r="AP201" s="342"/>
      <c r="AQ201" s="342"/>
      <c r="AR201" s="344"/>
      <c r="AS201" s="342"/>
      <c r="AT201" s="342"/>
      <c r="AU201" s="342"/>
      <c r="AV201" s="344"/>
      <c r="AW201" s="342"/>
      <c r="AX201" s="342"/>
      <c r="AY201" s="342"/>
      <c r="AZ201" s="344"/>
      <c r="BA201" s="346"/>
      <c r="BB201" s="346"/>
      <c r="BC201" s="346"/>
      <c r="BD201" s="370"/>
      <c r="BE201" s="345"/>
      <c r="BF201" s="345"/>
      <c r="BG201" s="345">
        <v>1</v>
      </c>
      <c r="BH201" s="345">
        <f t="shared" si="27"/>
        <v>1</v>
      </c>
      <c r="BI201" s="345"/>
      <c r="BJ201" s="345"/>
      <c r="BK201" s="340"/>
      <c r="BL201" s="345">
        <v>1</v>
      </c>
      <c r="BM201" s="345">
        <v>1</v>
      </c>
      <c r="BN201" s="347">
        <v>1</v>
      </c>
    </row>
    <row r="202" spans="1:66" ht="12">
      <c r="A202" s="340">
        <f t="shared" si="26"/>
        <v>4</v>
      </c>
      <c r="B202" s="341" t="s">
        <v>51</v>
      </c>
      <c r="C202" s="340">
        <v>108</v>
      </c>
      <c r="D202" s="340" t="s">
        <v>41</v>
      </c>
      <c r="E202" s="342">
        <f t="shared" si="24"/>
        <v>25.56</v>
      </c>
      <c r="F202" s="342">
        <f t="shared" si="25"/>
        <v>28.512000000000004</v>
      </c>
      <c r="G202" s="342"/>
      <c r="H202" s="344"/>
      <c r="I202" s="342"/>
      <c r="J202" s="342"/>
      <c r="K202" s="342"/>
      <c r="L202" s="344">
        <v>0.071</v>
      </c>
      <c r="M202" s="344">
        <f>L202*360</f>
        <v>25.56</v>
      </c>
      <c r="N202" s="343">
        <f>0.0762+0.003</f>
        <v>0.0792</v>
      </c>
      <c r="O202" s="342">
        <f>N202*360</f>
        <v>28.512000000000004</v>
      </c>
      <c r="P202" s="344"/>
      <c r="Q202" s="344"/>
      <c r="R202" s="344"/>
      <c r="S202" s="344"/>
      <c r="T202" s="344"/>
      <c r="U202" s="343"/>
      <c r="V202" s="342"/>
      <c r="W202" s="342"/>
      <c r="X202" s="342"/>
      <c r="Y202" s="345"/>
      <c r="Z202" s="340"/>
      <c r="AA202" s="340"/>
      <c r="AB202" s="345"/>
      <c r="AC202" s="340"/>
      <c r="AD202" s="340"/>
      <c r="AE202" s="345"/>
      <c r="AF202" s="340"/>
      <c r="AG202" s="340"/>
      <c r="AH202" s="345"/>
      <c r="AI202" s="340"/>
      <c r="AJ202" s="342"/>
      <c r="AK202" s="345"/>
      <c r="AL202" s="342"/>
      <c r="AM202" s="340"/>
      <c r="AN202" s="344"/>
      <c r="AO202" s="342"/>
      <c r="AP202" s="342"/>
      <c r="AQ202" s="342"/>
      <c r="AR202" s="344"/>
      <c r="AS202" s="342"/>
      <c r="AT202" s="342"/>
      <c r="AU202" s="342"/>
      <c r="AV202" s="344"/>
      <c r="AW202" s="342"/>
      <c r="AX202" s="342"/>
      <c r="AY202" s="342"/>
      <c r="AZ202" s="344"/>
      <c r="BA202" s="346"/>
      <c r="BB202" s="346"/>
      <c r="BC202" s="346"/>
      <c r="BD202" s="346"/>
      <c r="BE202" s="345">
        <v>1</v>
      </c>
      <c r="BF202" s="345">
        <f>BE202</f>
        <v>1</v>
      </c>
      <c r="BG202" s="345">
        <v>2</v>
      </c>
      <c r="BH202" s="345">
        <f t="shared" si="27"/>
        <v>2</v>
      </c>
      <c r="BI202" s="345"/>
      <c r="BJ202" s="345"/>
      <c r="BK202" s="340"/>
      <c r="BL202" s="345">
        <v>1</v>
      </c>
      <c r="BM202" s="345">
        <v>1</v>
      </c>
      <c r="BN202" s="347"/>
    </row>
    <row r="203" spans="1:66" ht="12">
      <c r="A203" s="340">
        <f t="shared" si="26"/>
        <v>5</v>
      </c>
      <c r="B203" s="341" t="s">
        <v>51</v>
      </c>
      <c r="C203" s="340">
        <v>108</v>
      </c>
      <c r="D203" s="340"/>
      <c r="E203" s="342">
        <f t="shared" si="24"/>
        <v>101.88</v>
      </c>
      <c r="F203" s="342">
        <f t="shared" si="25"/>
        <v>100.188</v>
      </c>
      <c r="G203" s="342"/>
      <c r="H203" s="344"/>
      <c r="I203" s="342"/>
      <c r="J203" s="342"/>
      <c r="K203" s="344"/>
      <c r="L203" s="344">
        <v>0.283</v>
      </c>
      <c r="M203" s="344">
        <f>L203*360</f>
        <v>101.88</v>
      </c>
      <c r="N203" s="343">
        <v>0.2783</v>
      </c>
      <c r="O203" s="342">
        <f>N203*360</f>
        <v>100.188</v>
      </c>
      <c r="P203" s="344"/>
      <c r="Q203" s="344"/>
      <c r="R203" s="344"/>
      <c r="S203" s="344"/>
      <c r="T203" s="344"/>
      <c r="U203" s="343"/>
      <c r="V203" s="342"/>
      <c r="W203" s="342"/>
      <c r="X203" s="342"/>
      <c r="Y203" s="345"/>
      <c r="Z203" s="340"/>
      <c r="AA203" s="340"/>
      <c r="AB203" s="345"/>
      <c r="AC203" s="340"/>
      <c r="AD203" s="340"/>
      <c r="AE203" s="345"/>
      <c r="AF203" s="340"/>
      <c r="AG203" s="340">
        <v>4</v>
      </c>
      <c r="AH203" s="345"/>
      <c r="AI203" s="340"/>
      <c r="AJ203" s="342"/>
      <c r="AK203" s="345"/>
      <c r="AL203" s="342"/>
      <c r="AM203" s="340"/>
      <c r="AN203" s="344"/>
      <c r="AO203" s="342"/>
      <c r="AP203" s="342"/>
      <c r="AQ203" s="342"/>
      <c r="AR203" s="344"/>
      <c r="AS203" s="342"/>
      <c r="AT203" s="342"/>
      <c r="AU203" s="342"/>
      <c r="AV203" s="344"/>
      <c r="AW203" s="342"/>
      <c r="AX203" s="342"/>
      <c r="AY203" s="342"/>
      <c r="AZ203" s="344"/>
      <c r="BA203" s="346"/>
      <c r="BB203" s="346"/>
      <c r="BC203" s="346"/>
      <c r="BD203" s="346"/>
      <c r="BE203" s="345"/>
      <c r="BF203" s="345"/>
      <c r="BG203" s="345">
        <v>7</v>
      </c>
      <c r="BH203" s="345">
        <f t="shared" si="27"/>
        <v>7</v>
      </c>
      <c r="BI203" s="345"/>
      <c r="BJ203" s="345"/>
      <c r="BK203" s="340"/>
      <c r="BL203" s="345">
        <v>1</v>
      </c>
      <c r="BM203" s="345">
        <v>1</v>
      </c>
      <c r="BN203" s="347"/>
    </row>
    <row r="204" spans="1:66" ht="12">
      <c r="A204" s="340">
        <f t="shared" si="26"/>
        <v>6</v>
      </c>
      <c r="B204" s="341" t="s">
        <v>51</v>
      </c>
      <c r="C204" s="340">
        <v>110</v>
      </c>
      <c r="D204" s="340"/>
      <c r="E204" s="342">
        <f t="shared" si="24"/>
        <v>0</v>
      </c>
      <c r="F204" s="342">
        <f t="shared" si="25"/>
        <v>0</v>
      </c>
      <c r="G204" s="342"/>
      <c r="H204" s="344"/>
      <c r="I204" s="342"/>
      <c r="J204" s="342"/>
      <c r="K204" s="344"/>
      <c r="L204" s="344"/>
      <c r="M204" s="342"/>
      <c r="N204" s="343"/>
      <c r="O204" s="342"/>
      <c r="P204" s="344"/>
      <c r="Q204" s="344"/>
      <c r="R204" s="344"/>
      <c r="S204" s="344"/>
      <c r="T204" s="344"/>
      <c r="U204" s="343"/>
      <c r="V204" s="342"/>
      <c r="W204" s="342"/>
      <c r="X204" s="342"/>
      <c r="Y204" s="345"/>
      <c r="Z204" s="340"/>
      <c r="AA204" s="340"/>
      <c r="AB204" s="345"/>
      <c r="AC204" s="340"/>
      <c r="AD204" s="340"/>
      <c r="AE204" s="345"/>
      <c r="AF204" s="340"/>
      <c r="AG204" s="340"/>
      <c r="AH204" s="345"/>
      <c r="AI204" s="340"/>
      <c r="AJ204" s="342"/>
      <c r="AK204" s="345"/>
      <c r="AL204" s="342"/>
      <c r="AM204" s="340"/>
      <c r="AN204" s="344"/>
      <c r="AO204" s="342"/>
      <c r="AP204" s="342"/>
      <c r="AQ204" s="342"/>
      <c r="AR204" s="344"/>
      <c r="AS204" s="342"/>
      <c r="AT204" s="342"/>
      <c r="AU204" s="342"/>
      <c r="AV204" s="344"/>
      <c r="AW204" s="342"/>
      <c r="AX204" s="342"/>
      <c r="AY204" s="342"/>
      <c r="AZ204" s="344"/>
      <c r="BA204" s="346"/>
      <c r="BB204" s="346"/>
      <c r="BC204" s="346"/>
      <c r="BD204" s="346"/>
      <c r="BE204" s="345"/>
      <c r="BF204" s="345"/>
      <c r="BG204" s="345">
        <v>2</v>
      </c>
      <c r="BH204" s="345">
        <f t="shared" si="27"/>
        <v>2</v>
      </c>
      <c r="BI204" s="345"/>
      <c r="BJ204" s="345"/>
      <c r="BK204" s="340"/>
      <c r="BL204" s="345">
        <v>1</v>
      </c>
      <c r="BM204" s="345">
        <v>1</v>
      </c>
      <c r="BN204" s="347">
        <v>1</v>
      </c>
    </row>
    <row r="205" spans="1:66" ht="12">
      <c r="A205" s="340">
        <f t="shared" si="26"/>
        <v>7</v>
      </c>
      <c r="B205" s="341" t="s">
        <v>51</v>
      </c>
      <c r="C205" s="340">
        <v>112</v>
      </c>
      <c r="D205" s="340"/>
      <c r="E205" s="342">
        <f t="shared" si="24"/>
        <v>61.2</v>
      </c>
      <c r="F205" s="342">
        <f t="shared" si="25"/>
        <v>61.2</v>
      </c>
      <c r="G205" s="342"/>
      <c r="H205" s="344"/>
      <c r="I205" s="342"/>
      <c r="J205" s="342"/>
      <c r="K205" s="344"/>
      <c r="L205" s="344">
        <v>0.17</v>
      </c>
      <c r="M205" s="344">
        <f>L205*360</f>
        <v>61.2</v>
      </c>
      <c r="N205" s="343">
        <v>0.17</v>
      </c>
      <c r="O205" s="342">
        <f>N205*360</f>
        <v>61.2</v>
      </c>
      <c r="P205" s="344"/>
      <c r="Q205" s="344"/>
      <c r="R205" s="344"/>
      <c r="S205" s="344"/>
      <c r="T205" s="344"/>
      <c r="U205" s="343"/>
      <c r="V205" s="342"/>
      <c r="W205" s="342"/>
      <c r="X205" s="342"/>
      <c r="Y205" s="345"/>
      <c r="Z205" s="340"/>
      <c r="AA205" s="340"/>
      <c r="AB205" s="345"/>
      <c r="AC205" s="340"/>
      <c r="AD205" s="340"/>
      <c r="AE205" s="345"/>
      <c r="AF205" s="340"/>
      <c r="AG205" s="340"/>
      <c r="AH205" s="345"/>
      <c r="AI205" s="340"/>
      <c r="AJ205" s="342"/>
      <c r="AK205" s="345"/>
      <c r="AL205" s="342"/>
      <c r="AM205" s="340"/>
      <c r="AN205" s="344"/>
      <c r="AO205" s="342"/>
      <c r="AP205" s="342"/>
      <c r="AQ205" s="342"/>
      <c r="AR205" s="344"/>
      <c r="AS205" s="342"/>
      <c r="AT205" s="342"/>
      <c r="AU205" s="342"/>
      <c r="AV205" s="344"/>
      <c r="AW205" s="342"/>
      <c r="AX205" s="342"/>
      <c r="AY205" s="342"/>
      <c r="AZ205" s="344"/>
      <c r="BA205" s="346"/>
      <c r="BB205" s="346"/>
      <c r="BC205" s="346"/>
      <c r="BD205" s="346"/>
      <c r="BE205" s="345"/>
      <c r="BF205" s="345"/>
      <c r="BG205" s="345">
        <v>4</v>
      </c>
      <c r="BH205" s="345">
        <f t="shared" si="27"/>
        <v>4</v>
      </c>
      <c r="BI205" s="345"/>
      <c r="BJ205" s="345"/>
      <c r="BK205" s="340"/>
      <c r="BL205" s="345">
        <v>1</v>
      </c>
      <c r="BM205" s="345">
        <v>1</v>
      </c>
      <c r="BN205" s="347"/>
    </row>
    <row r="206" spans="1:66" ht="26.25" customHeight="1">
      <c r="A206" s="340">
        <f t="shared" si="26"/>
        <v>8</v>
      </c>
      <c r="B206" s="341" t="s">
        <v>51</v>
      </c>
      <c r="C206" s="340">
        <v>114</v>
      </c>
      <c r="D206" s="340"/>
      <c r="E206" s="342">
        <f t="shared" si="24"/>
        <v>44.28</v>
      </c>
      <c r="F206" s="342">
        <f t="shared" si="25"/>
        <v>49.608000000000004</v>
      </c>
      <c r="G206" s="342"/>
      <c r="H206" s="344"/>
      <c r="I206" s="342"/>
      <c r="J206" s="342"/>
      <c r="K206" s="342"/>
      <c r="L206" s="344">
        <v>0.123</v>
      </c>
      <c r="M206" s="344">
        <f>L206*360</f>
        <v>44.28</v>
      </c>
      <c r="N206" s="343">
        <v>0.1378</v>
      </c>
      <c r="O206" s="342">
        <f>N206*360</f>
        <v>49.608000000000004</v>
      </c>
      <c r="P206" s="344"/>
      <c r="Q206" s="344"/>
      <c r="R206" s="344"/>
      <c r="S206" s="344"/>
      <c r="T206" s="344"/>
      <c r="U206" s="343"/>
      <c r="V206" s="342"/>
      <c r="W206" s="342"/>
      <c r="X206" s="342"/>
      <c r="Y206" s="345"/>
      <c r="Z206" s="340"/>
      <c r="AA206" s="340"/>
      <c r="AB206" s="345"/>
      <c r="AC206" s="340"/>
      <c r="AD206" s="340"/>
      <c r="AE206" s="345"/>
      <c r="AF206" s="340"/>
      <c r="AG206" s="340">
        <v>2</v>
      </c>
      <c r="AH206" s="345"/>
      <c r="AI206" s="340"/>
      <c r="AJ206" s="342"/>
      <c r="AK206" s="345"/>
      <c r="AL206" s="342"/>
      <c r="AM206" s="340"/>
      <c r="AN206" s="344"/>
      <c r="AO206" s="342"/>
      <c r="AP206" s="342"/>
      <c r="AQ206" s="342"/>
      <c r="AR206" s="344"/>
      <c r="AS206" s="342"/>
      <c r="AT206" s="342"/>
      <c r="AU206" s="342"/>
      <c r="AV206" s="344"/>
      <c r="AW206" s="342"/>
      <c r="AX206" s="342"/>
      <c r="AY206" s="342"/>
      <c r="AZ206" s="344"/>
      <c r="BA206" s="346"/>
      <c r="BB206" s="346"/>
      <c r="BC206" s="346"/>
      <c r="BD206" s="346"/>
      <c r="BE206" s="345">
        <v>1</v>
      </c>
      <c r="BF206" s="345">
        <f>BE206</f>
        <v>1</v>
      </c>
      <c r="BG206" s="345">
        <v>2</v>
      </c>
      <c r="BH206" s="345">
        <f t="shared" si="27"/>
        <v>2</v>
      </c>
      <c r="BI206" s="345"/>
      <c r="BJ206" s="345"/>
      <c r="BK206" s="340"/>
      <c r="BL206" s="345">
        <v>1</v>
      </c>
      <c r="BM206" s="345">
        <v>1</v>
      </c>
      <c r="BN206" s="347"/>
    </row>
    <row r="207" spans="1:66" ht="12">
      <c r="A207" s="340">
        <f>A206+1</f>
        <v>9</v>
      </c>
      <c r="B207" s="341" t="s">
        <v>51</v>
      </c>
      <c r="C207" s="340">
        <v>148</v>
      </c>
      <c r="D207" s="340"/>
      <c r="E207" s="342">
        <f t="shared" si="24"/>
        <v>0</v>
      </c>
      <c r="F207" s="342">
        <f t="shared" si="25"/>
        <v>0</v>
      </c>
      <c r="G207" s="342"/>
      <c r="H207" s="344"/>
      <c r="I207" s="342"/>
      <c r="J207" s="342"/>
      <c r="K207" s="342"/>
      <c r="L207" s="344"/>
      <c r="M207" s="342"/>
      <c r="N207" s="343"/>
      <c r="O207" s="342"/>
      <c r="P207" s="344"/>
      <c r="Q207" s="344"/>
      <c r="R207" s="344"/>
      <c r="S207" s="344"/>
      <c r="T207" s="344"/>
      <c r="U207" s="343"/>
      <c r="V207" s="342"/>
      <c r="W207" s="342"/>
      <c r="X207" s="342"/>
      <c r="Y207" s="345"/>
      <c r="Z207" s="340"/>
      <c r="AA207" s="340"/>
      <c r="AB207" s="345"/>
      <c r="AC207" s="340"/>
      <c r="AD207" s="340"/>
      <c r="AE207" s="345"/>
      <c r="AF207" s="340"/>
      <c r="AG207" s="340"/>
      <c r="AH207" s="345"/>
      <c r="AI207" s="340"/>
      <c r="AJ207" s="342"/>
      <c r="AK207" s="345"/>
      <c r="AL207" s="342"/>
      <c r="AM207" s="340"/>
      <c r="AN207" s="344"/>
      <c r="AO207" s="342"/>
      <c r="AP207" s="342"/>
      <c r="AQ207" s="342"/>
      <c r="AR207" s="344"/>
      <c r="AS207" s="342"/>
      <c r="AT207" s="342"/>
      <c r="AU207" s="342"/>
      <c r="AV207" s="344"/>
      <c r="AW207" s="342"/>
      <c r="AX207" s="342"/>
      <c r="AY207" s="342"/>
      <c r="AZ207" s="344"/>
      <c r="BA207" s="346"/>
      <c r="BB207" s="346"/>
      <c r="BC207" s="346"/>
      <c r="BD207" s="346"/>
      <c r="BE207" s="345">
        <v>1</v>
      </c>
      <c r="BF207" s="345"/>
      <c r="BG207" s="345">
        <v>1</v>
      </c>
      <c r="BH207" s="345">
        <v>1</v>
      </c>
      <c r="BI207" s="345"/>
      <c r="BJ207" s="345"/>
      <c r="BK207" s="340"/>
      <c r="BL207" s="345">
        <v>1</v>
      </c>
      <c r="BM207" s="345">
        <v>1</v>
      </c>
      <c r="BN207" s="347"/>
    </row>
    <row r="208" spans="1:66" ht="12">
      <c r="A208" s="340">
        <f>A207+1</f>
        <v>10</v>
      </c>
      <c r="B208" s="341" t="s">
        <v>51</v>
      </c>
      <c r="C208" s="340">
        <v>150</v>
      </c>
      <c r="D208" s="340"/>
      <c r="E208" s="342">
        <f t="shared" si="24"/>
        <v>12.600000000000001</v>
      </c>
      <c r="F208" s="342">
        <f t="shared" si="25"/>
        <v>33.048</v>
      </c>
      <c r="G208" s="342"/>
      <c r="H208" s="344"/>
      <c r="I208" s="342"/>
      <c r="J208" s="342"/>
      <c r="K208" s="344"/>
      <c r="L208" s="344">
        <v>0.035</v>
      </c>
      <c r="M208" s="344">
        <f>L208*360</f>
        <v>12.600000000000001</v>
      </c>
      <c r="N208" s="343">
        <v>0.0918</v>
      </c>
      <c r="O208" s="342">
        <f>N208*360</f>
        <v>33.048</v>
      </c>
      <c r="P208" s="344"/>
      <c r="Q208" s="344"/>
      <c r="R208" s="344"/>
      <c r="S208" s="344"/>
      <c r="T208" s="344"/>
      <c r="U208" s="343"/>
      <c r="V208" s="342"/>
      <c r="W208" s="342"/>
      <c r="X208" s="342"/>
      <c r="Y208" s="345"/>
      <c r="Z208" s="340"/>
      <c r="AA208" s="340"/>
      <c r="AB208" s="345"/>
      <c r="AC208" s="340"/>
      <c r="AD208" s="340"/>
      <c r="AE208" s="345"/>
      <c r="AF208" s="340"/>
      <c r="AG208" s="340">
        <v>2</v>
      </c>
      <c r="AH208" s="345"/>
      <c r="AI208" s="340"/>
      <c r="AJ208" s="342"/>
      <c r="AK208" s="345"/>
      <c r="AL208" s="342"/>
      <c r="AM208" s="340"/>
      <c r="AN208" s="344"/>
      <c r="AO208" s="342"/>
      <c r="AP208" s="342"/>
      <c r="AQ208" s="342"/>
      <c r="AR208" s="344"/>
      <c r="AS208" s="342"/>
      <c r="AT208" s="342"/>
      <c r="AU208" s="342"/>
      <c r="AV208" s="344"/>
      <c r="AW208" s="342"/>
      <c r="AX208" s="342"/>
      <c r="AY208" s="342"/>
      <c r="AZ208" s="344"/>
      <c r="BA208" s="346"/>
      <c r="BB208" s="346"/>
      <c r="BC208" s="346"/>
      <c r="BD208" s="346"/>
      <c r="BE208" s="345"/>
      <c r="BF208" s="345"/>
      <c r="BG208" s="345">
        <v>3</v>
      </c>
      <c r="BH208" s="345">
        <v>3</v>
      </c>
      <c r="BI208" s="345"/>
      <c r="BJ208" s="345"/>
      <c r="BK208" s="340"/>
      <c r="BL208" s="345">
        <v>1</v>
      </c>
      <c r="BM208" s="345">
        <v>1</v>
      </c>
      <c r="BN208" s="347"/>
    </row>
    <row r="209" spans="1:66" ht="18" customHeight="1">
      <c r="A209" s="340">
        <f>A208+1</f>
        <v>11</v>
      </c>
      <c r="B209" s="341" t="s">
        <v>51</v>
      </c>
      <c r="C209" s="340">
        <v>152</v>
      </c>
      <c r="D209" s="340"/>
      <c r="E209" s="342">
        <f t="shared" si="24"/>
        <v>6.276</v>
      </c>
      <c r="F209" s="342">
        <f t="shared" si="25"/>
        <v>5.04</v>
      </c>
      <c r="G209" s="342"/>
      <c r="H209" s="344">
        <v>0.006</v>
      </c>
      <c r="I209" s="342">
        <f>H209*326</f>
        <v>1.956</v>
      </c>
      <c r="J209" s="342"/>
      <c r="K209" s="342"/>
      <c r="L209" s="343">
        <v>0.012</v>
      </c>
      <c r="M209" s="344">
        <f>L209*360</f>
        <v>4.32</v>
      </c>
      <c r="N209" s="343">
        <v>0.014</v>
      </c>
      <c r="O209" s="342">
        <f>N209*360</f>
        <v>5.04</v>
      </c>
      <c r="P209" s="344"/>
      <c r="Q209" s="344"/>
      <c r="R209" s="344"/>
      <c r="S209" s="344"/>
      <c r="T209" s="344"/>
      <c r="U209" s="343"/>
      <c r="V209" s="342"/>
      <c r="W209" s="342"/>
      <c r="X209" s="342"/>
      <c r="Y209" s="345"/>
      <c r="Z209" s="340"/>
      <c r="AA209" s="340"/>
      <c r="AB209" s="345"/>
      <c r="AC209" s="340"/>
      <c r="AD209" s="340"/>
      <c r="AE209" s="345"/>
      <c r="AF209" s="340"/>
      <c r="AG209" s="340"/>
      <c r="AH209" s="345"/>
      <c r="AI209" s="340"/>
      <c r="AJ209" s="342"/>
      <c r="AK209" s="345"/>
      <c r="AL209" s="342"/>
      <c r="AM209" s="340"/>
      <c r="AN209" s="344"/>
      <c r="AO209" s="342"/>
      <c r="AP209" s="342"/>
      <c r="AQ209" s="342"/>
      <c r="AR209" s="344"/>
      <c r="AS209" s="342"/>
      <c r="AT209" s="342"/>
      <c r="AU209" s="342"/>
      <c r="AV209" s="344"/>
      <c r="AW209" s="342"/>
      <c r="AX209" s="342"/>
      <c r="AY209" s="342"/>
      <c r="AZ209" s="344"/>
      <c r="BA209" s="346"/>
      <c r="BB209" s="346"/>
      <c r="BC209" s="346"/>
      <c r="BD209" s="346"/>
      <c r="BE209" s="345"/>
      <c r="BF209" s="345"/>
      <c r="BG209" s="345">
        <v>3</v>
      </c>
      <c r="BH209" s="345">
        <v>3</v>
      </c>
      <c r="BI209" s="345"/>
      <c r="BJ209" s="345"/>
      <c r="BK209" s="340"/>
      <c r="BL209" s="345">
        <v>1</v>
      </c>
      <c r="BM209" s="345">
        <v>1</v>
      </c>
      <c r="BN209" s="347"/>
    </row>
    <row r="210" spans="1:66" ht="22.5" customHeight="1">
      <c r="A210" s="340">
        <f>A209+1</f>
        <v>12</v>
      </c>
      <c r="B210" s="341" t="s">
        <v>51</v>
      </c>
      <c r="C210" s="340">
        <v>154</v>
      </c>
      <c r="D210" s="340"/>
      <c r="E210" s="342">
        <f t="shared" si="24"/>
        <v>99.156</v>
      </c>
      <c r="F210" s="342">
        <f t="shared" si="25"/>
        <v>117.36</v>
      </c>
      <c r="G210" s="342"/>
      <c r="H210" s="344">
        <v>0.006</v>
      </c>
      <c r="I210" s="342">
        <f>H210*326</f>
        <v>1.956</v>
      </c>
      <c r="J210" s="342"/>
      <c r="K210" s="344"/>
      <c r="L210" s="343">
        <v>0.27</v>
      </c>
      <c r="M210" s="344">
        <f>L210*360</f>
        <v>97.2</v>
      </c>
      <c r="N210" s="343">
        <v>0.326</v>
      </c>
      <c r="O210" s="342">
        <f>N210*360</f>
        <v>117.36</v>
      </c>
      <c r="P210" s="344"/>
      <c r="Q210" s="344"/>
      <c r="R210" s="344"/>
      <c r="S210" s="344"/>
      <c r="T210" s="344"/>
      <c r="U210" s="343"/>
      <c r="V210" s="342"/>
      <c r="W210" s="342"/>
      <c r="X210" s="342"/>
      <c r="Y210" s="345"/>
      <c r="Z210" s="340"/>
      <c r="AA210" s="340"/>
      <c r="AB210" s="345"/>
      <c r="AC210" s="340"/>
      <c r="AD210" s="340"/>
      <c r="AE210" s="345"/>
      <c r="AF210" s="340"/>
      <c r="AG210" s="340">
        <v>4</v>
      </c>
      <c r="AH210" s="345"/>
      <c r="AI210" s="340"/>
      <c r="AJ210" s="342"/>
      <c r="AK210" s="345"/>
      <c r="AL210" s="342"/>
      <c r="AM210" s="340"/>
      <c r="AN210" s="344"/>
      <c r="AO210" s="342"/>
      <c r="AP210" s="342"/>
      <c r="AQ210" s="342"/>
      <c r="AR210" s="344"/>
      <c r="AS210" s="342"/>
      <c r="AT210" s="342"/>
      <c r="AU210" s="342"/>
      <c r="AV210" s="344"/>
      <c r="AW210" s="342"/>
      <c r="AX210" s="342"/>
      <c r="AY210" s="342"/>
      <c r="AZ210" s="344"/>
      <c r="BA210" s="346"/>
      <c r="BB210" s="346"/>
      <c r="BC210" s="346"/>
      <c r="BD210" s="346"/>
      <c r="BE210" s="345"/>
      <c r="BF210" s="345"/>
      <c r="BG210" s="345">
        <v>6</v>
      </c>
      <c r="BH210" s="345">
        <v>6</v>
      </c>
      <c r="BI210" s="345"/>
      <c r="BJ210" s="345"/>
      <c r="BK210" s="340"/>
      <c r="BL210" s="345">
        <v>1</v>
      </c>
      <c r="BM210" s="345">
        <v>1</v>
      </c>
      <c r="BN210" s="347"/>
    </row>
    <row r="211" spans="1:66" ht="12">
      <c r="A211" s="340">
        <f>A210+1</f>
        <v>13</v>
      </c>
      <c r="B211" s="341" t="s">
        <v>51</v>
      </c>
      <c r="C211" s="340">
        <v>156</v>
      </c>
      <c r="D211" s="340"/>
      <c r="E211" s="342">
        <f t="shared" si="24"/>
        <v>164.934</v>
      </c>
      <c r="F211" s="342">
        <f t="shared" si="25"/>
        <v>140.328</v>
      </c>
      <c r="G211" s="342"/>
      <c r="H211" s="344">
        <v>0.009</v>
      </c>
      <c r="I211" s="342">
        <f>H211*326</f>
        <v>2.9339999999999997</v>
      </c>
      <c r="J211" s="342"/>
      <c r="K211" s="344"/>
      <c r="L211" s="343">
        <v>0.45</v>
      </c>
      <c r="M211" s="344">
        <f>L211*360</f>
        <v>162</v>
      </c>
      <c r="N211" s="343">
        <f>0.1041+0.2857</f>
        <v>0.38980000000000004</v>
      </c>
      <c r="O211" s="342">
        <f>N211*360</f>
        <v>140.328</v>
      </c>
      <c r="P211" s="344"/>
      <c r="Q211" s="344"/>
      <c r="R211" s="344"/>
      <c r="S211" s="344"/>
      <c r="T211" s="344"/>
      <c r="U211" s="343"/>
      <c r="V211" s="342"/>
      <c r="W211" s="342"/>
      <c r="X211" s="342"/>
      <c r="Y211" s="345"/>
      <c r="Z211" s="340"/>
      <c r="AA211" s="340"/>
      <c r="AB211" s="345"/>
      <c r="AC211" s="340"/>
      <c r="AD211" s="340"/>
      <c r="AE211" s="345"/>
      <c r="AF211" s="340"/>
      <c r="AG211" s="340">
        <v>3</v>
      </c>
      <c r="AH211" s="345"/>
      <c r="AI211" s="340"/>
      <c r="AJ211" s="342"/>
      <c r="AK211" s="345"/>
      <c r="AL211" s="342"/>
      <c r="AM211" s="340"/>
      <c r="AN211" s="344"/>
      <c r="AO211" s="342"/>
      <c r="AP211" s="342"/>
      <c r="AQ211" s="342"/>
      <c r="AR211" s="344"/>
      <c r="AS211" s="342"/>
      <c r="AT211" s="342"/>
      <c r="AU211" s="342"/>
      <c r="AV211" s="344"/>
      <c r="AW211" s="342"/>
      <c r="AX211" s="342"/>
      <c r="AY211" s="342"/>
      <c r="AZ211" s="344"/>
      <c r="BA211" s="346"/>
      <c r="BB211" s="346"/>
      <c r="BC211" s="346"/>
      <c r="BD211" s="346"/>
      <c r="BE211" s="345"/>
      <c r="BF211" s="345"/>
      <c r="BG211" s="345">
        <v>6</v>
      </c>
      <c r="BH211" s="345">
        <v>6</v>
      </c>
      <c r="BI211" s="345"/>
      <c r="BJ211" s="345"/>
      <c r="BK211" s="340"/>
      <c r="BL211" s="345">
        <v>1</v>
      </c>
      <c r="BM211" s="345">
        <v>1</v>
      </c>
      <c r="BN211" s="347"/>
    </row>
    <row r="212" spans="1:66" ht="20.25" customHeight="1">
      <c r="A212" s="349">
        <f>A211</f>
        <v>13</v>
      </c>
      <c r="B212" s="350" t="s">
        <v>198</v>
      </c>
      <c r="C212" s="365"/>
      <c r="D212" s="365"/>
      <c r="E212" s="352">
        <f aca="true" t="shared" si="28" ref="E212:M212">SUM(E199:E211)</f>
        <v>518.494</v>
      </c>
      <c r="F212" s="352">
        <f t="shared" si="28"/>
        <v>535.2840000000001</v>
      </c>
      <c r="G212" s="352">
        <f t="shared" si="28"/>
        <v>0</v>
      </c>
      <c r="H212" s="354">
        <f t="shared" si="28"/>
        <v>0.028999999999999998</v>
      </c>
      <c r="I212" s="354">
        <f t="shared" si="28"/>
        <v>9.453999999999999</v>
      </c>
      <c r="J212" s="352">
        <f t="shared" si="28"/>
        <v>0</v>
      </c>
      <c r="K212" s="352">
        <f t="shared" si="28"/>
        <v>0</v>
      </c>
      <c r="L212" s="354">
        <f t="shared" si="28"/>
        <v>1.4140000000000001</v>
      </c>
      <c r="M212" s="354">
        <f t="shared" si="28"/>
        <v>509.03999999999996</v>
      </c>
      <c r="N212" s="353">
        <f aca="true" t="shared" si="29" ref="N212:T212">SUM(N199:N211)</f>
        <v>1.4868999999999999</v>
      </c>
      <c r="O212" s="352">
        <f t="shared" si="29"/>
        <v>535.2840000000001</v>
      </c>
      <c r="P212" s="354">
        <f>SUM(P199:P211)</f>
        <v>0</v>
      </c>
      <c r="Q212" s="354">
        <f>SUM(Q199:Q211)</f>
        <v>0</v>
      </c>
      <c r="R212" s="352">
        <f t="shared" si="29"/>
        <v>0</v>
      </c>
      <c r="S212" s="352">
        <f t="shared" si="29"/>
        <v>0</v>
      </c>
      <c r="T212" s="354">
        <f t="shared" si="29"/>
        <v>0</v>
      </c>
      <c r="U212" s="353">
        <f>SUM(U199:U211)</f>
        <v>0</v>
      </c>
      <c r="V212" s="354">
        <f>SUM(V199:V211)</f>
        <v>0</v>
      </c>
      <c r="W212" s="354">
        <f>'[1]план осн.'!Q196</f>
        <v>0</v>
      </c>
      <c r="X212" s="354">
        <f>'[1]план осн.'!R196</f>
        <v>0</v>
      </c>
      <c r="Y212" s="349">
        <f>SUM(Y199:Y211)</f>
        <v>0</v>
      </c>
      <c r="Z212" s="349"/>
      <c r="AA212" s="349">
        <f>SUM(AA199:AA211)</f>
        <v>0</v>
      </c>
      <c r="AB212" s="349">
        <f>SUM(AB199:AB211)</f>
        <v>0</v>
      </c>
      <c r="AC212" s="349"/>
      <c r="AD212" s="349"/>
      <c r="AE212" s="349"/>
      <c r="AF212" s="349"/>
      <c r="AG212" s="349">
        <f>SUM(AG199:AG211)</f>
        <v>20</v>
      </c>
      <c r="AH212" s="349">
        <f>SUM(AH199:AH211)</f>
        <v>0</v>
      </c>
      <c r="AI212" s="349">
        <f>SUM(AI199:AI211)</f>
        <v>0</v>
      </c>
      <c r="AJ212" s="342">
        <f>SUM(AJ199:AJ211)</f>
        <v>0</v>
      </c>
      <c r="AK212" s="349"/>
      <c r="AL212" s="352"/>
      <c r="AM212" s="349">
        <f aca="true" t="shared" si="30" ref="AM212:BC212">SUM(AM199:AM211)</f>
        <v>0</v>
      </c>
      <c r="AN212" s="354">
        <f>SUM(AN199:AN211)</f>
        <v>0</v>
      </c>
      <c r="AO212" s="352"/>
      <c r="AP212" s="354">
        <f t="shared" si="30"/>
        <v>0</v>
      </c>
      <c r="AQ212" s="354">
        <f t="shared" si="30"/>
        <v>0</v>
      </c>
      <c r="AR212" s="354">
        <f t="shared" si="30"/>
        <v>0</v>
      </c>
      <c r="AS212" s="354">
        <f t="shared" si="30"/>
        <v>0</v>
      </c>
      <c r="AT212" s="354">
        <f t="shared" si="30"/>
        <v>0</v>
      </c>
      <c r="AU212" s="354">
        <f t="shared" si="30"/>
        <v>0</v>
      </c>
      <c r="AV212" s="354">
        <f t="shared" si="30"/>
        <v>0</v>
      </c>
      <c r="AW212" s="354">
        <f t="shared" si="30"/>
        <v>0</v>
      </c>
      <c r="AX212" s="354">
        <f t="shared" si="30"/>
        <v>0</v>
      </c>
      <c r="AY212" s="354">
        <f t="shared" si="30"/>
        <v>0</v>
      </c>
      <c r="AZ212" s="354">
        <f t="shared" si="30"/>
        <v>0</v>
      </c>
      <c r="BA212" s="354">
        <f t="shared" si="30"/>
        <v>0</v>
      </c>
      <c r="BB212" s="354">
        <f t="shared" si="30"/>
        <v>0</v>
      </c>
      <c r="BC212" s="354">
        <f t="shared" si="30"/>
        <v>0</v>
      </c>
      <c r="BD212" s="352"/>
      <c r="BE212" s="349">
        <f aca="true" t="shared" si="31" ref="BE212:BN212">SUM(BE199:BE211)</f>
        <v>3</v>
      </c>
      <c r="BF212" s="349">
        <f t="shared" si="31"/>
        <v>2</v>
      </c>
      <c r="BG212" s="349">
        <f t="shared" si="31"/>
        <v>45</v>
      </c>
      <c r="BH212" s="349">
        <f t="shared" si="31"/>
        <v>45</v>
      </c>
      <c r="BI212" s="349">
        <f t="shared" si="31"/>
        <v>0</v>
      </c>
      <c r="BJ212" s="349">
        <f t="shared" si="31"/>
        <v>0</v>
      </c>
      <c r="BK212" s="349">
        <f t="shared" si="31"/>
        <v>0</v>
      </c>
      <c r="BL212" s="349">
        <f t="shared" si="31"/>
        <v>13</v>
      </c>
      <c r="BM212" s="349">
        <f t="shared" si="31"/>
        <v>13</v>
      </c>
      <c r="BN212" s="349">
        <f t="shared" si="31"/>
        <v>4</v>
      </c>
    </row>
    <row r="213" spans="1:66" ht="40.5" customHeight="1">
      <c r="A213" s="340">
        <v>1</v>
      </c>
      <c r="B213" s="341" t="s">
        <v>32</v>
      </c>
      <c r="C213" s="340">
        <v>98</v>
      </c>
      <c r="D213" s="340"/>
      <c r="E213" s="342">
        <f aca="true" t="shared" si="32" ref="E213:E226">I213+M213+Q213+V213+Z213+AD213+AJ213+AO213+AS213+AW213+BA213</f>
        <v>4</v>
      </c>
      <c r="F213" s="342">
        <f aca="true" t="shared" si="33" ref="F213:F226">K213+O213+S213+X213+AF213+AL213+AQ213+AU213+AY213+BC213</f>
        <v>4</v>
      </c>
      <c r="G213" s="342"/>
      <c r="H213" s="344"/>
      <c r="I213" s="342"/>
      <c r="J213" s="344"/>
      <c r="K213" s="342"/>
      <c r="L213" s="344"/>
      <c r="M213" s="342"/>
      <c r="N213" s="343"/>
      <c r="O213" s="342"/>
      <c r="P213" s="344"/>
      <c r="Q213" s="344"/>
      <c r="R213" s="344"/>
      <c r="S213" s="344"/>
      <c r="T213" s="344"/>
      <c r="U213" s="343"/>
      <c r="V213" s="342"/>
      <c r="W213" s="342"/>
      <c r="X213" s="342"/>
      <c r="Y213" s="345"/>
      <c r="Z213" s="340"/>
      <c r="AA213" s="340"/>
      <c r="AB213" s="345"/>
      <c r="AC213" s="340"/>
      <c r="AD213" s="340"/>
      <c r="AE213" s="345"/>
      <c r="AF213" s="340"/>
      <c r="AG213" s="340"/>
      <c r="AH213" s="345"/>
      <c r="AI213" s="340"/>
      <c r="AJ213" s="342"/>
      <c r="AK213" s="345"/>
      <c r="AL213" s="342"/>
      <c r="AM213" s="340"/>
      <c r="AN213" s="249" t="s">
        <v>161</v>
      </c>
      <c r="AO213" s="342">
        <v>4</v>
      </c>
      <c r="AP213" s="249" t="s">
        <v>161</v>
      </c>
      <c r="AQ213" s="342">
        <v>4</v>
      </c>
      <c r="AR213" s="344"/>
      <c r="AS213" s="342"/>
      <c r="AT213" s="342"/>
      <c r="AU213" s="342"/>
      <c r="AV213" s="344"/>
      <c r="AW213" s="342"/>
      <c r="AX213" s="342"/>
      <c r="AY213" s="342"/>
      <c r="AZ213" s="344"/>
      <c r="BA213" s="346"/>
      <c r="BB213" s="344"/>
      <c r="BC213" s="344"/>
      <c r="BD213" s="370"/>
      <c r="BE213" s="345">
        <v>1</v>
      </c>
      <c r="BF213" s="345">
        <v>1</v>
      </c>
      <c r="BG213" s="345">
        <v>3</v>
      </c>
      <c r="BH213" s="345">
        <v>3</v>
      </c>
      <c r="BI213" s="345"/>
      <c r="BJ213" s="345"/>
      <c r="BK213" s="340"/>
      <c r="BL213" s="345">
        <v>1</v>
      </c>
      <c r="BM213" s="345">
        <v>1</v>
      </c>
      <c r="BN213" s="347">
        <v>1</v>
      </c>
    </row>
    <row r="214" spans="1:66" ht="12">
      <c r="A214" s="340">
        <f aca="true" t="shared" si="34" ref="A214:A225">A213+1</f>
        <v>2</v>
      </c>
      <c r="B214" s="341" t="s">
        <v>32</v>
      </c>
      <c r="C214" s="340">
        <v>109</v>
      </c>
      <c r="D214" s="340"/>
      <c r="E214" s="342">
        <f t="shared" si="32"/>
        <v>13.4</v>
      </c>
      <c r="F214" s="342">
        <f t="shared" si="33"/>
        <v>0</v>
      </c>
      <c r="G214" s="342"/>
      <c r="H214" s="344"/>
      <c r="I214" s="342"/>
      <c r="J214" s="344"/>
      <c r="K214" s="344"/>
      <c r="L214" s="344"/>
      <c r="M214" s="342"/>
      <c r="N214" s="343"/>
      <c r="O214" s="342"/>
      <c r="P214" s="344"/>
      <c r="Q214" s="344"/>
      <c r="R214" s="344"/>
      <c r="S214" s="344"/>
      <c r="T214" s="344"/>
      <c r="U214" s="343"/>
      <c r="V214" s="342"/>
      <c r="W214" s="344"/>
      <c r="X214" s="342"/>
      <c r="Y214" s="345"/>
      <c r="Z214" s="340"/>
      <c r="AA214" s="340"/>
      <c r="AB214" s="345"/>
      <c r="AC214" s="340">
        <v>2</v>
      </c>
      <c r="AD214" s="340">
        <f>4.2*AC214</f>
        <v>8.4</v>
      </c>
      <c r="AE214" s="345"/>
      <c r="AF214" s="340"/>
      <c r="AG214" s="340">
        <v>5</v>
      </c>
      <c r="AH214" s="345"/>
      <c r="AI214" s="340">
        <v>2</v>
      </c>
      <c r="AJ214" s="342">
        <v>5</v>
      </c>
      <c r="AK214" s="345"/>
      <c r="AL214" s="342"/>
      <c r="AM214" s="340"/>
      <c r="AN214" s="344"/>
      <c r="AO214" s="342"/>
      <c r="AP214" s="342"/>
      <c r="AQ214" s="342"/>
      <c r="AR214" s="344"/>
      <c r="AS214" s="342"/>
      <c r="AT214" s="342"/>
      <c r="AU214" s="342"/>
      <c r="AV214" s="344"/>
      <c r="AW214" s="342"/>
      <c r="AX214" s="342"/>
      <c r="AY214" s="342"/>
      <c r="AZ214" s="344"/>
      <c r="BA214" s="346"/>
      <c r="BB214" s="344"/>
      <c r="BC214" s="344"/>
      <c r="BD214" s="346"/>
      <c r="BE214" s="345"/>
      <c r="BF214" s="345"/>
      <c r="BG214" s="345"/>
      <c r="BH214" s="345"/>
      <c r="BI214" s="345"/>
      <c r="BJ214" s="345"/>
      <c r="BK214" s="340"/>
      <c r="BL214" s="345">
        <v>1</v>
      </c>
      <c r="BM214" s="345">
        <v>1</v>
      </c>
      <c r="BN214" s="347"/>
    </row>
    <row r="215" spans="1:66" s="355" customFormat="1" ht="12">
      <c r="A215" s="340">
        <f t="shared" si="34"/>
        <v>3</v>
      </c>
      <c r="B215" s="341" t="s">
        <v>35</v>
      </c>
      <c r="C215" s="340">
        <v>62</v>
      </c>
      <c r="D215" s="340"/>
      <c r="E215" s="342">
        <f t="shared" si="32"/>
        <v>0</v>
      </c>
      <c r="F215" s="342">
        <f t="shared" si="33"/>
        <v>0</v>
      </c>
      <c r="G215" s="342"/>
      <c r="H215" s="344"/>
      <c r="I215" s="342"/>
      <c r="J215" s="344"/>
      <c r="K215" s="342"/>
      <c r="L215" s="344"/>
      <c r="M215" s="342"/>
      <c r="N215" s="343"/>
      <c r="O215" s="342"/>
      <c r="P215" s="344"/>
      <c r="Q215" s="344"/>
      <c r="R215" s="344"/>
      <c r="S215" s="344"/>
      <c r="T215" s="344"/>
      <c r="U215" s="343"/>
      <c r="V215" s="342"/>
      <c r="W215" s="344"/>
      <c r="X215" s="342"/>
      <c r="Y215" s="345"/>
      <c r="Z215" s="340"/>
      <c r="AA215" s="340"/>
      <c r="AB215" s="345"/>
      <c r="AC215" s="340"/>
      <c r="AD215" s="340"/>
      <c r="AE215" s="345"/>
      <c r="AF215" s="340"/>
      <c r="AG215" s="340"/>
      <c r="AH215" s="345"/>
      <c r="AI215" s="340"/>
      <c r="AJ215" s="342"/>
      <c r="AK215" s="345"/>
      <c r="AL215" s="342"/>
      <c r="AM215" s="340"/>
      <c r="AN215" s="344"/>
      <c r="AO215" s="342"/>
      <c r="AP215" s="342"/>
      <c r="AQ215" s="342"/>
      <c r="AR215" s="344"/>
      <c r="AS215" s="342"/>
      <c r="AT215" s="342"/>
      <c r="AU215" s="342"/>
      <c r="AV215" s="344"/>
      <c r="AW215" s="342"/>
      <c r="AX215" s="342"/>
      <c r="AY215" s="342"/>
      <c r="AZ215" s="344"/>
      <c r="BA215" s="346"/>
      <c r="BB215" s="344"/>
      <c r="BC215" s="344"/>
      <c r="BD215" s="346"/>
      <c r="BE215" s="345">
        <v>1</v>
      </c>
      <c r="BF215" s="345">
        <v>1</v>
      </c>
      <c r="BG215" s="345">
        <v>3</v>
      </c>
      <c r="BH215" s="345">
        <v>3</v>
      </c>
      <c r="BI215" s="345"/>
      <c r="BJ215" s="345"/>
      <c r="BK215" s="340"/>
      <c r="BL215" s="345">
        <v>1</v>
      </c>
      <c r="BM215" s="345">
        <v>1</v>
      </c>
      <c r="BN215" s="347">
        <v>1</v>
      </c>
    </row>
    <row r="216" spans="1:66" ht="14.25" customHeight="1">
      <c r="A216" s="340">
        <f t="shared" si="34"/>
        <v>4</v>
      </c>
      <c r="B216" s="341" t="s">
        <v>35</v>
      </c>
      <c r="C216" s="340">
        <v>64</v>
      </c>
      <c r="D216" s="340"/>
      <c r="E216" s="342">
        <f t="shared" si="32"/>
        <v>0</v>
      </c>
      <c r="F216" s="342">
        <f t="shared" si="33"/>
        <v>0</v>
      </c>
      <c r="G216" s="342"/>
      <c r="H216" s="344"/>
      <c r="I216" s="342"/>
      <c r="J216" s="344"/>
      <c r="K216" s="342"/>
      <c r="L216" s="344"/>
      <c r="M216" s="342"/>
      <c r="N216" s="343"/>
      <c r="O216" s="344"/>
      <c r="P216" s="344"/>
      <c r="Q216" s="344"/>
      <c r="R216" s="344"/>
      <c r="S216" s="344"/>
      <c r="T216" s="344"/>
      <c r="U216" s="343"/>
      <c r="V216" s="342"/>
      <c r="W216" s="344"/>
      <c r="X216" s="342"/>
      <c r="Y216" s="345"/>
      <c r="Z216" s="340"/>
      <c r="AA216" s="340"/>
      <c r="AB216" s="345"/>
      <c r="AC216" s="340"/>
      <c r="AD216" s="340"/>
      <c r="AE216" s="345"/>
      <c r="AF216" s="340"/>
      <c r="AG216" s="340"/>
      <c r="AH216" s="345"/>
      <c r="AI216" s="340"/>
      <c r="AJ216" s="342"/>
      <c r="AK216" s="345"/>
      <c r="AL216" s="342"/>
      <c r="AM216" s="340"/>
      <c r="AN216" s="344"/>
      <c r="AO216" s="342"/>
      <c r="AP216" s="342"/>
      <c r="AQ216" s="342"/>
      <c r="AR216" s="344"/>
      <c r="AS216" s="342"/>
      <c r="AT216" s="342"/>
      <c r="AU216" s="342"/>
      <c r="AV216" s="344"/>
      <c r="AW216" s="342"/>
      <c r="AX216" s="342"/>
      <c r="AY216" s="342"/>
      <c r="AZ216" s="344"/>
      <c r="BA216" s="346"/>
      <c r="BB216" s="344"/>
      <c r="BC216" s="344"/>
      <c r="BD216" s="370"/>
      <c r="BE216" s="345">
        <v>1</v>
      </c>
      <c r="BF216" s="345">
        <v>1</v>
      </c>
      <c r="BG216" s="345">
        <v>3</v>
      </c>
      <c r="BH216" s="345">
        <v>3</v>
      </c>
      <c r="BI216" s="345"/>
      <c r="BJ216" s="345"/>
      <c r="BK216" s="340"/>
      <c r="BL216" s="345">
        <v>1</v>
      </c>
      <c r="BM216" s="345">
        <v>1</v>
      </c>
      <c r="BN216" s="347">
        <v>1</v>
      </c>
    </row>
    <row r="217" spans="1:66" ht="14.25" customHeight="1">
      <c r="A217" s="340">
        <f t="shared" si="34"/>
        <v>5</v>
      </c>
      <c r="B217" s="341" t="s">
        <v>35</v>
      </c>
      <c r="C217" s="340">
        <v>72</v>
      </c>
      <c r="D217" s="340"/>
      <c r="E217" s="342">
        <f t="shared" si="32"/>
        <v>6</v>
      </c>
      <c r="F217" s="342">
        <f t="shared" si="33"/>
        <v>0</v>
      </c>
      <c r="G217" s="342"/>
      <c r="H217" s="344"/>
      <c r="I217" s="342"/>
      <c r="J217" s="344"/>
      <c r="K217" s="344"/>
      <c r="L217" s="344"/>
      <c r="M217" s="342"/>
      <c r="N217" s="343"/>
      <c r="O217" s="342"/>
      <c r="P217" s="344"/>
      <c r="Q217" s="344"/>
      <c r="R217" s="344"/>
      <c r="S217" s="344"/>
      <c r="T217" s="344"/>
      <c r="U217" s="343"/>
      <c r="V217" s="342"/>
      <c r="W217" s="344"/>
      <c r="X217" s="342"/>
      <c r="Y217" s="345"/>
      <c r="Z217" s="340"/>
      <c r="AA217" s="340"/>
      <c r="AB217" s="345"/>
      <c r="AC217" s="340"/>
      <c r="AD217" s="340"/>
      <c r="AE217" s="345"/>
      <c r="AF217" s="340"/>
      <c r="AG217" s="340">
        <v>2</v>
      </c>
      <c r="AH217" s="345"/>
      <c r="AI217" s="340">
        <v>5</v>
      </c>
      <c r="AJ217" s="342">
        <v>6</v>
      </c>
      <c r="AK217" s="345"/>
      <c r="AL217" s="342"/>
      <c r="AM217" s="340"/>
      <c r="AN217" s="344"/>
      <c r="AO217" s="342"/>
      <c r="AP217" s="342"/>
      <c r="AQ217" s="342"/>
      <c r="AR217" s="344"/>
      <c r="AS217" s="342"/>
      <c r="AT217" s="342"/>
      <c r="AU217" s="342"/>
      <c r="AV217" s="344"/>
      <c r="AW217" s="342"/>
      <c r="AX217" s="342"/>
      <c r="AY217" s="342"/>
      <c r="AZ217" s="344"/>
      <c r="BA217" s="346"/>
      <c r="BB217" s="344"/>
      <c r="BC217" s="344"/>
      <c r="BD217" s="346"/>
      <c r="BE217" s="345">
        <v>1</v>
      </c>
      <c r="BF217" s="345">
        <v>1</v>
      </c>
      <c r="BG217" s="345">
        <v>2</v>
      </c>
      <c r="BH217" s="345">
        <v>2</v>
      </c>
      <c r="BI217" s="345"/>
      <c r="BJ217" s="345"/>
      <c r="BK217" s="340"/>
      <c r="BL217" s="345">
        <v>1</v>
      </c>
      <c r="BM217" s="345">
        <v>1</v>
      </c>
      <c r="BN217" s="347">
        <v>1</v>
      </c>
    </row>
    <row r="218" spans="1:66" s="355" customFormat="1" ht="14.25" customHeight="1">
      <c r="A218" s="340">
        <f t="shared" si="34"/>
        <v>6</v>
      </c>
      <c r="B218" s="341" t="s">
        <v>37</v>
      </c>
      <c r="C218" s="340">
        <v>124</v>
      </c>
      <c r="D218" s="340"/>
      <c r="E218" s="342">
        <f t="shared" si="32"/>
        <v>2</v>
      </c>
      <c r="F218" s="342">
        <f t="shared" si="33"/>
        <v>7.752</v>
      </c>
      <c r="G218" s="342"/>
      <c r="H218" s="344"/>
      <c r="I218" s="342"/>
      <c r="J218" s="344"/>
      <c r="K218" s="342"/>
      <c r="L218" s="344"/>
      <c r="M218" s="342"/>
      <c r="N218" s="343"/>
      <c r="O218" s="342"/>
      <c r="P218" s="344"/>
      <c r="Q218" s="344"/>
      <c r="R218" s="344"/>
      <c r="S218" s="344"/>
      <c r="T218" s="344"/>
      <c r="U218" s="343"/>
      <c r="V218" s="342"/>
      <c r="W218" s="344"/>
      <c r="X218" s="342"/>
      <c r="Y218" s="345"/>
      <c r="Z218" s="340"/>
      <c r="AA218" s="340"/>
      <c r="AB218" s="345"/>
      <c r="AC218" s="340"/>
      <c r="AD218" s="340"/>
      <c r="AE218" s="345"/>
      <c r="AF218" s="340"/>
      <c r="AG218" s="340">
        <v>4</v>
      </c>
      <c r="AH218" s="345"/>
      <c r="AI218" s="340"/>
      <c r="AJ218" s="342"/>
      <c r="AK218" s="345"/>
      <c r="AL218" s="342"/>
      <c r="AM218" s="340"/>
      <c r="AN218" s="249" t="s">
        <v>199</v>
      </c>
      <c r="AO218" s="342">
        <f>2</f>
        <v>2</v>
      </c>
      <c r="AP218" s="344" t="s">
        <v>38</v>
      </c>
      <c r="AQ218" s="342">
        <v>7.752</v>
      </c>
      <c r="AR218" s="344"/>
      <c r="AS218" s="342"/>
      <c r="AT218" s="344"/>
      <c r="AU218" s="342"/>
      <c r="AV218" s="344"/>
      <c r="AW218" s="342"/>
      <c r="AX218" s="344"/>
      <c r="AY218" s="342"/>
      <c r="AZ218" s="344"/>
      <c r="BA218" s="346"/>
      <c r="BB218" s="344"/>
      <c r="BC218" s="344"/>
      <c r="BD218" s="346"/>
      <c r="BE218" s="345">
        <v>1</v>
      </c>
      <c r="BF218" s="345">
        <v>1</v>
      </c>
      <c r="BG218" s="345">
        <v>1</v>
      </c>
      <c r="BH218" s="345">
        <v>1</v>
      </c>
      <c r="BI218" s="345"/>
      <c r="BJ218" s="345"/>
      <c r="BK218" s="340"/>
      <c r="BL218" s="345">
        <v>1</v>
      </c>
      <c r="BM218" s="345">
        <v>1</v>
      </c>
      <c r="BN218" s="347">
        <v>1</v>
      </c>
    </row>
    <row r="219" spans="1:66" ht="19.5" customHeight="1">
      <c r="A219" s="340">
        <f t="shared" si="34"/>
        <v>7</v>
      </c>
      <c r="B219" s="341" t="s">
        <v>37</v>
      </c>
      <c r="C219" s="340">
        <v>126</v>
      </c>
      <c r="D219" s="340"/>
      <c r="E219" s="342">
        <f t="shared" si="32"/>
        <v>32</v>
      </c>
      <c r="F219" s="342">
        <f t="shared" si="33"/>
        <v>7.391304347826087</v>
      </c>
      <c r="G219" s="342"/>
      <c r="H219" s="344"/>
      <c r="I219" s="342"/>
      <c r="J219" s="344"/>
      <c r="K219" s="342"/>
      <c r="L219" s="344"/>
      <c r="M219" s="342"/>
      <c r="N219" s="343"/>
      <c r="O219" s="342"/>
      <c r="P219" s="344"/>
      <c r="Q219" s="344"/>
      <c r="R219" s="344"/>
      <c r="S219" s="344"/>
      <c r="T219" s="344"/>
      <c r="U219" s="343"/>
      <c r="V219" s="342"/>
      <c r="W219" s="344"/>
      <c r="X219" s="342"/>
      <c r="Y219" s="345"/>
      <c r="Z219" s="340"/>
      <c r="AA219" s="340"/>
      <c r="AB219" s="345"/>
      <c r="AC219" s="340"/>
      <c r="AD219" s="340"/>
      <c r="AE219" s="345"/>
      <c r="AF219" s="340"/>
      <c r="AG219" s="340">
        <v>8</v>
      </c>
      <c r="AH219" s="345">
        <v>1</v>
      </c>
      <c r="AI219" s="340">
        <v>23</v>
      </c>
      <c r="AJ219" s="342">
        <v>32</v>
      </c>
      <c r="AK219" s="345">
        <v>1</v>
      </c>
      <c r="AL219" s="342">
        <f>AJ219/AI219*AK219</f>
        <v>1.391304347826087</v>
      </c>
      <c r="AM219" s="340"/>
      <c r="AN219" s="344"/>
      <c r="AO219" s="342"/>
      <c r="AP219" s="249" t="s">
        <v>200</v>
      </c>
      <c r="AQ219" s="342">
        <v>6</v>
      </c>
      <c r="AR219" s="344"/>
      <c r="AS219" s="342"/>
      <c r="AT219" s="342"/>
      <c r="AU219" s="342"/>
      <c r="AV219" s="344"/>
      <c r="AW219" s="342"/>
      <c r="AX219" s="342"/>
      <c r="AY219" s="342"/>
      <c r="AZ219" s="344"/>
      <c r="BA219" s="346"/>
      <c r="BB219" s="344"/>
      <c r="BC219" s="344"/>
      <c r="BD219" s="346"/>
      <c r="BE219" s="345">
        <v>1</v>
      </c>
      <c r="BF219" s="345">
        <v>1</v>
      </c>
      <c r="BG219" s="345">
        <v>3</v>
      </c>
      <c r="BH219" s="345">
        <v>3</v>
      </c>
      <c r="BI219" s="345"/>
      <c r="BJ219" s="345"/>
      <c r="BK219" s="340"/>
      <c r="BL219" s="345">
        <v>1</v>
      </c>
      <c r="BM219" s="345">
        <v>1</v>
      </c>
      <c r="BN219" s="347"/>
    </row>
    <row r="220" spans="1:66" s="355" customFormat="1" ht="19.5" customHeight="1">
      <c r="A220" s="340">
        <f t="shared" si="34"/>
        <v>8</v>
      </c>
      <c r="B220" s="341" t="s">
        <v>37</v>
      </c>
      <c r="C220" s="340">
        <v>128</v>
      </c>
      <c r="D220" s="340"/>
      <c r="E220" s="342">
        <f t="shared" si="32"/>
        <v>39</v>
      </c>
      <c r="F220" s="342">
        <f t="shared" si="33"/>
        <v>0</v>
      </c>
      <c r="G220" s="342"/>
      <c r="H220" s="344"/>
      <c r="I220" s="342"/>
      <c r="J220" s="344"/>
      <c r="K220" s="342"/>
      <c r="L220" s="344"/>
      <c r="M220" s="342"/>
      <c r="N220" s="343"/>
      <c r="O220" s="342"/>
      <c r="P220" s="344"/>
      <c r="Q220" s="344"/>
      <c r="R220" s="344"/>
      <c r="S220" s="344"/>
      <c r="T220" s="344"/>
      <c r="U220" s="343"/>
      <c r="V220" s="342"/>
      <c r="W220" s="344"/>
      <c r="X220" s="342"/>
      <c r="Y220" s="345"/>
      <c r="Z220" s="340"/>
      <c r="AA220" s="340"/>
      <c r="AB220" s="345"/>
      <c r="AC220" s="340"/>
      <c r="AD220" s="340"/>
      <c r="AE220" s="345"/>
      <c r="AF220" s="340"/>
      <c r="AG220" s="340">
        <v>6</v>
      </c>
      <c r="AH220" s="345"/>
      <c r="AI220" s="340">
        <v>26</v>
      </c>
      <c r="AJ220" s="342">
        <v>39</v>
      </c>
      <c r="AK220" s="345"/>
      <c r="AL220" s="342"/>
      <c r="AM220" s="340"/>
      <c r="AN220" s="249"/>
      <c r="AO220" s="342"/>
      <c r="AP220" s="249"/>
      <c r="AQ220" s="342"/>
      <c r="AR220" s="344"/>
      <c r="AS220" s="342"/>
      <c r="AT220" s="342"/>
      <c r="AU220" s="342"/>
      <c r="AV220" s="344"/>
      <c r="AW220" s="342"/>
      <c r="AX220" s="342"/>
      <c r="AY220" s="342"/>
      <c r="AZ220" s="344"/>
      <c r="BA220" s="346"/>
      <c r="BB220" s="344"/>
      <c r="BC220" s="344"/>
      <c r="BD220" s="346"/>
      <c r="BE220" s="345">
        <v>1</v>
      </c>
      <c r="BF220" s="345">
        <v>1</v>
      </c>
      <c r="BG220" s="345">
        <v>4</v>
      </c>
      <c r="BH220" s="345">
        <v>4</v>
      </c>
      <c r="BI220" s="345"/>
      <c r="BJ220" s="345"/>
      <c r="BK220" s="340"/>
      <c r="BL220" s="345">
        <v>1</v>
      </c>
      <c r="BM220" s="345">
        <v>1</v>
      </c>
      <c r="BN220" s="347"/>
    </row>
    <row r="221" spans="1:66" s="355" customFormat="1" ht="19.5" customHeight="1">
      <c r="A221" s="340">
        <f t="shared" si="34"/>
        <v>9</v>
      </c>
      <c r="B221" s="341" t="s">
        <v>39</v>
      </c>
      <c r="C221" s="340">
        <v>1</v>
      </c>
      <c r="D221" s="340" t="s">
        <v>40</v>
      </c>
      <c r="E221" s="342">
        <f t="shared" si="32"/>
        <v>7.752</v>
      </c>
      <c r="F221" s="342">
        <f t="shared" si="33"/>
        <v>7.752</v>
      </c>
      <c r="G221" s="342"/>
      <c r="H221" s="344"/>
      <c r="I221" s="342"/>
      <c r="J221" s="344"/>
      <c r="K221" s="342"/>
      <c r="L221" s="344"/>
      <c r="M221" s="342"/>
      <c r="N221" s="343"/>
      <c r="O221" s="342"/>
      <c r="P221" s="344"/>
      <c r="Q221" s="344"/>
      <c r="R221" s="344"/>
      <c r="S221" s="344"/>
      <c r="T221" s="344"/>
      <c r="U221" s="343"/>
      <c r="V221" s="342"/>
      <c r="W221" s="344"/>
      <c r="X221" s="342"/>
      <c r="Y221" s="345"/>
      <c r="Z221" s="340"/>
      <c r="AA221" s="340"/>
      <c r="AB221" s="345"/>
      <c r="AC221" s="340"/>
      <c r="AD221" s="340"/>
      <c r="AE221" s="345"/>
      <c r="AF221" s="340"/>
      <c r="AG221" s="340"/>
      <c r="AH221" s="345"/>
      <c r="AI221" s="340"/>
      <c r="AJ221" s="342"/>
      <c r="AK221" s="345"/>
      <c r="AL221" s="342"/>
      <c r="AM221" s="340"/>
      <c r="AN221" s="344" t="s">
        <v>38</v>
      </c>
      <c r="AO221" s="342">
        <v>7.752</v>
      </c>
      <c r="AP221" s="344" t="s">
        <v>38</v>
      </c>
      <c r="AQ221" s="342">
        <v>7.752</v>
      </c>
      <c r="AR221" s="344"/>
      <c r="AS221" s="342"/>
      <c r="AT221" s="342"/>
      <c r="AU221" s="342"/>
      <c r="AV221" s="344"/>
      <c r="AW221" s="342"/>
      <c r="AX221" s="342"/>
      <c r="AY221" s="342"/>
      <c r="AZ221" s="344"/>
      <c r="BA221" s="346"/>
      <c r="BB221" s="344"/>
      <c r="BC221" s="344"/>
      <c r="BD221" s="346"/>
      <c r="BE221" s="345">
        <v>1</v>
      </c>
      <c r="BF221" s="345">
        <v>1</v>
      </c>
      <c r="BG221" s="345">
        <v>3</v>
      </c>
      <c r="BH221" s="345">
        <v>3</v>
      </c>
      <c r="BI221" s="345"/>
      <c r="BJ221" s="345"/>
      <c r="BK221" s="340"/>
      <c r="BL221" s="345">
        <v>1</v>
      </c>
      <c r="BM221" s="345">
        <v>1</v>
      </c>
      <c r="BN221" s="347">
        <v>1</v>
      </c>
    </row>
    <row r="222" spans="1:66" s="355" customFormat="1" ht="19.5" customHeight="1">
      <c r="A222" s="340">
        <f t="shared" si="34"/>
        <v>10</v>
      </c>
      <c r="B222" s="341" t="s">
        <v>39</v>
      </c>
      <c r="C222" s="340">
        <v>9</v>
      </c>
      <c r="D222" s="340"/>
      <c r="E222" s="342">
        <f t="shared" si="32"/>
        <v>4.748</v>
      </c>
      <c r="F222" s="342">
        <f t="shared" si="33"/>
        <v>4.75</v>
      </c>
      <c r="G222" s="342"/>
      <c r="H222" s="344"/>
      <c r="I222" s="342"/>
      <c r="J222" s="344">
        <v>0.01</v>
      </c>
      <c r="K222" s="342">
        <f>J222*475</f>
        <v>4.75</v>
      </c>
      <c r="L222" s="344"/>
      <c r="M222" s="342"/>
      <c r="N222" s="343"/>
      <c r="O222" s="342"/>
      <c r="P222" s="344"/>
      <c r="Q222" s="344"/>
      <c r="R222" s="344"/>
      <c r="S222" s="344"/>
      <c r="T222" s="344"/>
      <c r="U222" s="343"/>
      <c r="V222" s="342"/>
      <c r="W222" s="344"/>
      <c r="X222" s="342"/>
      <c r="Y222" s="345"/>
      <c r="Z222" s="340"/>
      <c r="AA222" s="340"/>
      <c r="AB222" s="345"/>
      <c r="AC222" s="340"/>
      <c r="AD222" s="340"/>
      <c r="AE222" s="345"/>
      <c r="AF222" s="340"/>
      <c r="AG222" s="340">
        <v>8</v>
      </c>
      <c r="AH222" s="345"/>
      <c r="AI222" s="340">
        <v>1</v>
      </c>
      <c r="AJ222" s="342">
        <v>2</v>
      </c>
      <c r="AK222" s="345"/>
      <c r="AL222" s="342"/>
      <c r="AM222" s="340"/>
      <c r="AN222" s="344"/>
      <c r="AO222" s="342"/>
      <c r="AP222" s="342"/>
      <c r="AQ222" s="342"/>
      <c r="AR222" s="344"/>
      <c r="AS222" s="342"/>
      <c r="AT222" s="344"/>
      <c r="AU222" s="342"/>
      <c r="AV222" s="344"/>
      <c r="AW222" s="342"/>
      <c r="AX222" s="249"/>
      <c r="AY222" s="342"/>
      <c r="AZ222" s="344">
        <v>0.006</v>
      </c>
      <c r="BA222" s="346">
        <f>AZ222*458</f>
        <v>2.748</v>
      </c>
      <c r="BB222" s="344"/>
      <c r="BC222" s="344"/>
      <c r="BD222" s="346"/>
      <c r="BE222" s="345">
        <v>1</v>
      </c>
      <c r="BF222" s="345">
        <v>1</v>
      </c>
      <c r="BG222" s="345">
        <v>4</v>
      </c>
      <c r="BH222" s="345">
        <v>4</v>
      </c>
      <c r="BI222" s="345"/>
      <c r="BJ222" s="345"/>
      <c r="BK222" s="340"/>
      <c r="BL222" s="345">
        <v>1</v>
      </c>
      <c r="BM222" s="345">
        <v>1</v>
      </c>
      <c r="BN222" s="347"/>
    </row>
    <row r="223" spans="1:66" s="355" customFormat="1" ht="19.5" customHeight="1">
      <c r="A223" s="340">
        <f t="shared" si="34"/>
        <v>11</v>
      </c>
      <c r="B223" s="341" t="s">
        <v>39</v>
      </c>
      <c r="C223" s="340">
        <v>11</v>
      </c>
      <c r="D223" s="340" t="s">
        <v>41</v>
      </c>
      <c r="E223" s="342">
        <f t="shared" si="32"/>
        <v>193.164</v>
      </c>
      <c r="F223" s="342">
        <f t="shared" si="33"/>
        <v>0</v>
      </c>
      <c r="G223" s="342"/>
      <c r="H223" s="344">
        <v>0.3</v>
      </c>
      <c r="I223" s="342">
        <f>H223*475</f>
        <v>142.5</v>
      </c>
      <c r="J223" s="344"/>
      <c r="K223" s="342"/>
      <c r="L223" s="344"/>
      <c r="M223" s="342"/>
      <c r="N223" s="343"/>
      <c r="O223" s="342"/>
      <c r="P223" s="344"/>
      <c r="Q223" s="344"/>
      <c r="R223" s="344"/>
      <c r="S223" s="344"/>
      <c r="T223" s="344"/>
      <c r="U223" s="343"/>
      <c r="V223" s="342"/>
      <c r="W223" s="344"/>
      <c r="X223" s="342"/>
      <c r="Y223" s="345"/>
      <c r="Z223" s="340"/>
      <c r="AA223" s="340"/>
      <c r="AB223" s="345"/>
      <c r="AC223" s="340"/>
      <c r="AD223" s="340"/>
      <c r="AE223" s="345"/>
      <c r="AF223" s="340"/>
      <c r="AG223" s="340">
        <v>6</v>
      </c>
      <c r="AH223" s="345"/>
      <c r="AI223" s="340">
        <v>31</v>
      </c>
      <c r="AJ223" s="342">
        <v>47</v>
      </c>
      <c r="AK223" s="345"/>
      <c r="AL223" s="342"/>
      <c r="AM223" s="340"/>
      <c r="AN223" s="344"/>
      <c r="AO223" s="342"/>
      <c r="AP223" s="342"/>
      <c r="AQ223" s="342"/>
      <c r="AR223" s="344"/>
      <c r="AS223" s="342"/>
      <c r="AT223" s="342"/>
      <c r="AU223" s="342"/>
      <c r="AV223" s="344"/>
      <c r="AW223" s="342"/>
      <c r="AX223" s="342"/>
      <c r="AY223" s="342"/>
      <c r="AZ223" s="344">
        <v>0.008</v>
      </c>
      <c r="BA223" s="346">
        <f>AZ223*458</f>
        <v>3.664</v>
      </c>
      <c r="BB223" s="344"/>
      <c r="BC223" s="344"/>
      <c r="BD223" s="346"/>
      <c r="BE223" s="345">
        <v>1</v>
      </c>
      <c r="BF223" s="345">
        <v>1</v>
      </c>
      <c r="BG223" s="345">
        <v>4</v>
      </c>
      <c r="BH223" s="345">
        <v>4</v>
      </c>
      <c r="BI223" s="345"/>
      <c r="BJ223" s="345"/>
      <c r="BK223" s="340"/>
      <c r="BL223" s="345">
        <v>1</v>
      </c>
      <c r="BM223" s="345">
        <v>1</v>
      </c>
      <c r="BN223" s="347"/>
    </row>
    <row r="224" spans="1:66" s="355" customFormat="1" ht="19.5" customHeight="1">
      <c r="A224" s="340">
        <f t="shared" si="34"/>
        <v>12</v>
      </c>
      <c r="B224" s="341" t="s">
        <v>42</v>
      </c>
      <c r="C224" s="340">
        <v>3</v>
      </c>
      <c r="D224" s="340"/>
      <c r="E224" s="342">
        <f t="shared" si="32"/>
        <v>0</v>
      </c>
      <c r="F224" s="342">
        <f t="shared" si="33"/>
        <v>4</v>
      </c>
      <c r="G224" s="342"/>
      <c r="H224" s="344"/>
      <c r="I224" s="342"/>
      <c r="J224" s="344"/>
      <c r="K224" s="344"/>
      <c r="L224" s="344"/>
      <c r="M224" s="342"/>
      <c r="N224" s="343"/>
      <c r="O224" s="342"/>
      <c r="P224" s="344"/>
      <c r="Q224" s="344"/>
      <c r="R224" s="344"/>
      <c r="S224" s="344"/>
      <c r="T224" s="344"/>
      <c r="U224" s="343"/>
      <c r="V224" s="342"/>
      <c r="W224" s="344"/>
      <c r="X224" s="342"/>
      <c r="Y224" s="345"/>
      <c r="Z224" s="340"/>
      <c r="AA224" s="340"/>
      <c r="AB224" s="345"/>
      <c r="AC224" s="340"/>
      <c r="AD224" s="340"/>
      <c r="AE224" s="345"/>
      <c r="AF224" s="340"/>
      <c r="AG224" s="340"/>
      <c r="AH224" s="345"/>
      <c r="AI224" s="340"/>
      <c r="AJ224" s="342"/>
      <c r="AK224" s="345"/>
      <c r="AL224" s="342"/>
      <c r="AM224" s="340"/>
      <c r="AN224" s="249"/>
      <c r="AO224" s="342"/>
      <c r="AP224" s="249" t="s">
        <v>161</v>
      </c>
      <c r="AQ224" s="342">
        <v>4</v>
      </c>
      <c r="AR224" s="342"/>
      <c r="AS224" s="342"/>
      <c r="AT224" s="344"/>
      <c r="AU224" s="342"/>
      <c r="AV224" s="344"/>
      <c r="AW224" s="342"/>
      <c r="AX224" s="342"/>
      <c r="AY224" s="342"/>
      <c r="AZ224" s="344"/>
      <c r="BA224" s="346"/>
      <c r="BB224" s="344"/>
      <c r="BC224" s="344"/>
      <c r="BD224" s="346"/>
      <c r="BE224" s="345">
        <v>1</v>
      </c>
      <c r="BF224" s="345">
        <v>1</v>
      </c>
      <c r="BG224" s="345">
        <v>3</v>
      </c>
      <c r="BH224" s="345">
        <v>3</v>
      </c>
      <c r="BI224" s="345"/>
      <c r="BJ224" s="345"/>
      <c r="BK224" s="340"/>
      <c r="BL224" s="345">
        <v>1</v>
      </c>
      <c r="BM224" s="345">
        <v>1</v>
      </c>
      <c r="BN224" s="347">
        <v>1</v>
      </c>
    </row>
    <row r="225" spans="1:66" s="355" customFormat="1" ht="27" customHeight="1">
      <c r="A225" s="340">
        <f t="shared" si="34"/>
        <v>13</v>
      </c>
      <c r="B225" s="341" t="s">
        <v>43</v>
      </c>
      <c r="C225" s="340">
        <v>113</v>
      </c>
      <c r="D225" s="340"/>
      <c r="E225" s="342">
        <f t="shared" si="32"/>
        <v>106.752</v>
      </c>
      <c r="F225" s="342">
        <f t="shared" si="33"/>
        <v>64.204</v>
      </c>
      <c r="G225" s="342"/>
      <c r="H225" s="344">
        <v>0.08</v>
      </c>
      <c r="I225" s="342">
        <f>H225*475</f>
        <v>38</v>
      </c>
      <c r="J225" s="344">
        <v>0.1</v>
      </c>
      <c r="K225" s="342">
        <f>J225*475</f>
        <v>47.5</v>
      </c>
      <c r="L225" s="344"/>
      <c r="M225" s="342"/>
      <c r="N225" s="343">
        <v>0.0082</v>
      </c>
      <c r="O225" s="342">
        <f>N225*360</f>
        <v>2.9520000000000004</v>
      </c>
      <c r="P225" s="344"/>
      <c r="Q225" s="344"/>
      <c r="R225" s="344"/>
      <c r="S225" s="344"/>
      <c r="T225" s="344"/>
      <c r="U225" s="343"/>
      <c r="V225" s="342"/>
      <c r="W225" s="344"/>
      <c r="X225" s="342"/>
      <c r="Y225" s="345"/>
      <c r="Z225" s="340"/>
      <c r="AA225" s="340"/>
      <c r="AB225" s="345"/>
      <c r="AC225" s="340"/>
      <c r="AD225" s="340"/>
      <c r="AE225" s="345"/>
      <c r="AF225" s="340"/>
      <c r="AG225" s="340">
        <v>14</v>
      </c>
      <c r="AH225" s="345"/>
      <c r="AI225" s="340">
        <v>37</v>
      </c>
      <c r="AJ225" s="342">
        <v>55</v>
      </c>
      <c r="AK225" s="345"/>
      <c r="AL225" s="342"/>
      <c r="AM225" s="340"/>
      <c r="AN225" s="249" t="s">
        <v>163</v>
      </c>
      <c r="AO225" s="342">
        <f>6+7.752</f>
        <v>13.751999999999999</v>
      </c>
      <c r="AP225" s="249" t="s">
        <v>163</v>
      </c>
      <c r="AQ225" s="342">
        <f>6+7.752</f>
        <v>13.751999999999999</v>
      </c>
      <c r="AR225" s="344"/>
      <c r="AS225" s="342"/>
      <c r="AT225" s="344"/>
      <c r="AU225" s="342"/>
      <c r="AV225" s="344"/>
      <c r="AW225" s="342"/>
      <c r="AX225" s="344"/>
      <c r="AY225" s="342"/>
      <c r="AZ225" s="344"/>
      <c r="BA225" s="346"/>
      <c r="BB225" s="249"/>
      <c r="BC225" s="342"/>
      <c r="BD225" s="346"/>
      <c r="BE225" s="345">
        <v>1</v>
      </c>
      <c r="BF225" s="345">
        <v>1</v>
      </c>
      <c r="BG225" s="345">
        <v>5</v>
      </c>
      <c r="BH225" s="345">
        <v>5</v>
      </c>
      <c r="BI225" s="345"/>
      <c r="BJ225" s="345"/>
      <c r="BK225" s="340"/>
      <c r="BL225" s="345">
        <v>1</v>
      </c>
      <c r="BM225" s="345">
        <v>1</v>
      </c>
      <c r="BN225" s="347">
        <v>1</v>
      </c>
    </row>
    <row r="226" spans="1:66" s="355" customFormat="1" ht="19.5" customHeight="1">
      <c r="A226" s="340">
        <f>A225+1</f>
        <v>14</v>
      </c>
      <c r="B226" s="341" t="s">
        <v>43</v>
      </c>
      <c r="C226" s="340">
        <v>126</v>
      </c>
      <c r="D226" s="340"/>
      <c r="E226" s="342">
        <f t="shared" si="32"/>
        <v>157.5</v>
      </c>
      <c r="F226" s="342">
        <f t="shared" si="33"/>
        <v>159.5</v>
      </c>
      <c r="G226" s="342"/>
      <c r="H226" s="344">
        <v>0.05</v>
      </c>
      <c r="I226" s="342">
        <f>H226*1450</f>
        <v>72.5</v>
      </c>
      <c r="J226" s="344">
        <v>0.11</v>
      </c>
      <c r="K226" s="342">
        <f>J226*1450</f>
        <v>159.5</v>
      </c>
      <c r="L226" s="344"/>
      <c r="M226" s="342"/>
      <c r="N226" s="343"/>
      <c r="O226" s="342"/>
      <c r="P226" s="344"/>
      <c r="Q226" s="344"/>
      <c r="R226" s="344"/>
      <c r="S226" s="344"/>
      <c r="T226" s="344"/>
      <c r="U226" s="343"/>
      <c r="V226" s="342"/>
      <c r="W226" s="344"/>
      <c r="X226" s="342"/>
      <c r="Y226" s="345"/>
      <c r="Z226" s="340"/>
      <c r="AA226" s="340"/>
      <c r="AB226" s="345"/>
      <c r="AC226" s="340"/>
      <c r="AD226" s="340"/>
      <c r="AE226" s="345"/>
      <c r="AF226" s="340"/>
      <c r="AG226" s="340">
        <v>13</v>
      </c>
      <c r="AH226" s="345"/>
      <c r="AI226" s="340">
        <v>57</v>
      </c>
      <c r="AJ226" s="342">
        <v>85</v>
      </c>
      <c r="AK226" s="345"/>
      <c r="AL226" s="342"/>
      <c r="AM226" s="340"/>
      <c r="AN226" s="344"/>
      <c r="AO226" s="342"/>
      <c r="AP226" s="342"/>
      <c r="AQ226" s="342"/>
      <c r="AR226" s="344"/>
      <c r="AS226" s="342"/>
      <c r="AT226" s="342"/>
      <c r="AU226" s="342"/>
      <c r="AV226" s="344"/>
      <c r="AW226" s="342"/>
      <c r="AX226" s="344"/>
      <c r="AY226" s="342"/>
      <c r="AZ226" s="344"/>
      <c r="BA226" s="346"/>
      <c r="BB226" s="344"/>
      <c r="BC226" s="344"/>
      <c r="BD226" s="346"/>
      <c r="BE226" s="345"/>
      <c r="BF226" s="345"/>
      <c r="BG226" s="345">
        <v>9</v>
      </c>
      <c r="BH226" s="345">
        <v>9</v>
      </c>
      <c r="BI226" s="345"/>
      <c r="BJ226" s="345"/>
      <c r="BK226" s="340"/>
      <c r="BL226" s="345">
        <v>1</v>
      </c>
      <c r="BM226" s="345">
        <v>1</v>
      </c>
      <c r="BN226" s="347"/>
    </row>
    <row r="227" spans="1:66" s="355" customFormat="1" ht="19.5" customHeight="1" thickBot="1">
      <c r="A227" s="349">
        <f>A226</f>
        <v>14</v>
      </c>
      <c r="B227" s="350" t="s">
        <v>201</v>
      </c>
      <c r="C227" s="365"/>
      <c r="D227" s="365"/>
      <c r="E227" s="352">
        <f aca="true" t="shared" si="35" ref="E227:BC227">SUM(E213:E226)</f>
        <v>566.316</v>
      </c>
      <c r="F227" s="352">
        <f t="shared" si="35"/>
        <v>259.3493043478261</v>
      </c>
      <c r="G227" s="352">
        <f t="shared" si="35"/>
        <v>0</v>
      </c>
      <c r="H227" s="354">
        <f t="shared" si="35"/>
        <v>0.43</v>
      </c>
      <c r="I227" s="352">
        <f t="shared" si="35"/>
        <v>253</v>
      </c>
      <c r="J227" s="354">
        <f t="shared" si="35"/>
        <v>0.22</v>
      </c>
      <c r="K227" s="354">
        <f t="shared" si="35"/>
        <v>211.75</v>
      </c>
      <c r="L227" s="354">
        <f t="shared" si="35"/>
        <v>0</v>
      </c>
      <c r="M227" s="352">
        <f t="shared" si="35"/>
        <v>0</v>
      </c>
      <c r="N227" s="353">
        <f t="shared" si="35"/>
        <v>0.0082</v>
      </c>
      <c r="O227" s="354">
        <f t="shared" si="35"/>
        <v>2.9520000000000004</v>
      </c>
      <c r="P227" s="354">
        <f t="shared" si="35"/>
        <v>0</v>
      </c>
      <c r="Q227" s="354">
        <f t="shared" si="35"/>
        <v>0</v>
      </c>
      <c r="R227" s="354">
        <f t="shared" si="35"/>
        <v>0</v>
      </c>
      <c r="S227" s="352">
        <f t="shared" si="35"/>
        <v>0</v>
      </c>
      <c r="T227" s="354">
        <f t="shared" si="35"/>
        <v>0</v>
      </c>
      <c r="U227" s="353">
        <f t="shared" si="35"/>
        <v>0</v>
      </c>
      <c r="V227" s="354">
        <f t="shared" si="35"/>
        <v>0</v>
      </c>
      <c r="W227" s="354">
        <f t="shared" si="35"/>
        <v>0</v>
      </c>
      <c r="X227" s="354">
        <f t="shared" si="35"/>
        <v>0</v>
      </c>
      <c r="Y227" s="349">
        <f t="shared" si="35"/>
        <v>0</v>
      </c>
      <c r="Z227" s="354">
        <f t="shared" si="35"/>
        <v>0</v>
      </c>
      <c r="AA227" s="349">
        <f t="shared" si="35"/>
        <v>0</v>
      </c>
      <c r="AB227" s="349">
        <f t="shared" si="35"/>
        <v>0</v>
      </c>
      <c r="AC227" s="349">
        <f t="shared" si="35"/>
        <v>2</v>
      </c>
      <c r="AD227" s="342">
        <f t="shared" si="35"/>
        <v>8.4</v>
      </c>
      <c r="AE227" s="349">
        <f t="shared" si="35"/>
        <v>0</v>
      </c>
      <c r="AF227" s="354">
        <f t="shared" si="35"/>
        <v>0</v>
      </c>
      <c r="AG227" s="349">
        <f t="shared" si="35"/>
        <v>66</v>
      </c>
      <c r="AH227" s="349">
        <f t="shared" si="35"/>
        <v>1</v>
      </c>
      <c r="AI227" s="349">
        <f t="shared" si="35"/>
        <v>182</v>
      </c>
      <c r="AJ227" s="342">
        <f t="shared" si="35"/>
        <v>271</v>
      </c>
      <c r="AK227" s="349">
        <f t="shared" si="35"/>
        <v>1</v>
      </c>
      <c r="AL227" s="349">
        <f t="shared" si="35"/>
        <v>1.391304347826087</v>
      </c>
      <c r="AM227" s="349">
        <f t="shared" si="35"/>
        <v>0</v>
      </c>
      <c r="AN227" s="354">
        <f t="shared" si="35"/>
        <v>0</v>
      </c>
      <c r="AO227" s="352">
        <f t="shared" si="35"/>
        <v>27.503999999999998</v>
      </c>
      <c r="AP227" s="354">
        <f t="shared" si="35"/>
        <v>0</v>
      </c>
      <c r="AQ227" s="352">
        <f t="shared" si="35"/>
        <v>43.256</v>
      </c>
      <c r="AR227" s="354">
        <f t="shared" si="35"/>
        <v>0</v>
      </c>
      <c r="AS227" s="352">
        <f t="shared" si="35"/>
        <v>0</v>
      </c>
      <c r="AT227" s="354">
        <f t="shared" si="35"/>
        <v>0</v>
      </c>
      <c r="AU227" s="352">
        <f t="shared" si="35"/>
        <v>0</v>
      </c>
      <c r="AV227" s="354">
        <f t="shared" si="35"/>
        <v>0</v>
      </c>
      <c r="AW227" s="352">
        <f t="shared" si="35"/>
        <v>0</v>
      </c>
      <c r="AX227" s="354">
        <f t="shared" si="35"/>
        <v>0</v>
      </c>
      <c r="AY227" s="352">
        <f t="shared" si="35"/>
        <v>0</v>
      </c>
      <c r="AZ227" s="354">
        <f t="shared" si="35"/>
        <v>0.014</v>
      </c>
      <c r="BA227" s="352">
        <f t="shared" si="35"/>
        <v>6.412000000000001</v>
      </c>
      <c r="BB227" s="354">
        <f t="shared" si="35"/>
        <v>0</v>
      </c>
      <c r="BC227" s="354">
        <f t="shared" si="35"/>
        <v>0</v>
      </c>
      <c r="BD227" s="352"/>
      <c r="BE227" s="349">
        <f aca="true" t="shared" si="36" ref="BE227:BM227">SUM(BE213:BE226)</f>
        <v>12</v>
      </c>
      <c r="BF227" s="349">
        <f t="shared" si="36"/>
        <v>12</v>
      </c>
      <c r="BG227" s="349">
        <f t="shared" si="36"/>
        <v>47</v>
      </c>
      <c r="BH227" s="349">
        <f t="shared" si="36"/>
        <v>47</v>
      </c>
      <c r="BI227" s="349">
        <f t="shared" si="36"/>
        <v>0</v>
      </c>
      <c r="BJ227" s="349">
        <f t="shared" si="36"/>
        <v>0</v>
      </c>
      <c r="BK227" s="349">
        <f t="shared" si="36"/>
        <v>0</v>
      </c>
      <c r="BL227" s="349">
        <f t="shared" si="36"/>
        <v>14</v>
      </c>
      <c r="BM227" s="349">
        <f t="shared" si="36"/>
        <v>14</v>
      </c>
      <c r="BN227" s="349">
        <f>SUM(BN213:BN226)</f>
        <v>8</v>
      </c>
    </row>
    <row r="228" spans="1:66" ht="12">
      <c r="A228" s="413" t="s">
        <v>0</v>
      </c>
      <c r="B228" s="414" t="s">
        <v>1</v>
      </c>
      <c r="C228" s="415"/>
      <c r="D228" s="416"/>
      <c r="E228" s="417" t="s">
        <v>2</v>
      </c>
      <c r="F228" s="418"/>
      <c r="G228" s="419"/>
      <c r="H228" s="420" t="s">
        <v>3</v>
      </c>
      <c r="I228" s="421"/>
      <c r="J228" s="421"/>
      <c r="K228" s="421"/>
      <c r="L228" s="422"/>
      <c r="M228" s="422"/>
      <c r="N228" s="422"/>
      <c r="O228" s="422"/>
      <c r="P228" s="422"/>
      <c r="Q228" s="422"/>
      <c r="R228" s="422"/>
      <c r="S228" s="422"/>
      <c r="T228" s="422"/>
      <c r="U228" s="422"/>
      <c r="V228" s="422"/>
      <c r="W228" s="422"/>
      <c r="X228" s="422"/>
      <c r="Y228" s="422"/>
      <c r="Z228" s="422"/>
      <c r="AA228" s="422"/>
      <c r="AB228" s="422"/>
      <c r="AC228" s="422"/>
      <c r="AD228" s="422"/>
      <c r="AE228" s="422"/>
      <c r="AF228" s="422"/>
      <c r="AG228" s="422"/>
      <c r="AH228" s="422"/>
      <c r="AI228" s="422"/>
      <c r="AJ228" s="422"/>
      <c r="AK228" s="422"/>
      <c r="AL228" s="422"/>
      <c r="AM228" s="422"/>
      <c r="AN228" s="422"/>
      <c r="AO228" s="422"/>
      <c r="AP228" s="422"/>
      <c r="AQ228" s="422"/>
      <c r="AR228" s="422"/>
      <c r="AS228" s="422"/>
      <c r="AT228" s="422"/>
      <c r="AU228" s="422"/>
      <c r="AV228" s="422"/>
      <c r="AW228" s="422"/>
      <c r="AX228" s="422"/>
      <c r="AY228" s="422"/>
      <c r="AZ228" s="422"/>
      <c r="BA228" s="422"/>
      <c r="BB228" s="422"/>
      <c r="BC228" s="422"/>
      <c r="BD228" s="422"/>
      <c r="BE228" s="422"/>
      <c r="BF228" s="422"/>
      <c r="BG228" s="422"/>
      <c r="BH228" s="422"/>
      <c r="BI228" s="422"/>
      <c r="BJ228" s="423"/>
      <c r="BK228" s="424" t="s">
        <v>4</v>
      </c>
      <c r="BL228" s="425"/>
      <c r="BM228" s="426" t="s">
        <v>5</v>
      </c>
      <c r="BN228" s="427"/>
    </row>
    <row r="229" spans="1:66" ht="12">
      <c r="A229" s="428"/>
      <c r="B229" s="310"/>
      <c r="C229" s="311"/>
      <c r="D229" s="312"/>
      <c r="E229" s="313"/>
      <c r="F229" s="314"/>
      <c r="G229" s="315"/>
      <c r="H229" s="390" t="s">
        <v>9</v>
      </c>
      <c r="I229" s="391"/>
      <c r="J229" s="391"/>
      <c r="K229" s="391"/>
      <c r="L229" s="391"/>
      <c r="M229" s="391"/>
      <c r="N229" s="391"/>
      <c r="O229" s="391"/>
      <c r="P229" s="391"/>
      <c r="Q229" s="391"/>
      <c r="R229" s="391"/>
      <c r="S229" s="391"/>
      <c r="T229" s="391"/>
      <c r="U229" s="391"/>
      <c r="V229" s="391"/>
      <c r="W229" s="391"/>
      <c r="X229" s="391"/>
      <c r="Y229" s="391"/>
      <c r="Z229" s="391"/>
      <c r="AA229" s="391"/>
      <c r="AB229" s="391"/>
      <c r="AC229" s="391"/>
      <c r="AD229" s="391"/>
      <c r="AE229" s="391"/>
      <c r="AF229" s="391"/>
      <c r="AG229" s="391"/>
      <c r="AH229" s="391"/>
      <c r="AI229" s="391"/>
      <c r="AJ229" s="391"/>
      <c r="AK229" s="391"/>
      <c r="AL229" s="391"/>
      <c r="AM229" s="392"/>
      <c r="AN229" s="316" t="s">
        <v>10</v>
      </c>
      <c r="AO229" s="317"/>
      <c r="AP229" s="317"/>
      <c r="AQ229" s="317"/>
      <c r="AR229" s="318"/>
      <c r="AS229" s="318"/>
      <c r="AT229" s="318"/>
      <c r="AU229" s="318"/>
      <c r="AV229" s="318"/>
      <c r="AW229" s="318"/>
      <c r="AX229" s="318"/>
      <c r="AY229" s="318"/>
      <c r="AZ229" s="318"/>
      <c r="BA229" s="318"/>
      <c r="BB229" s="318"/>
      <c r="BC229" s="318"/>
      <c r="BD229" s="318"/>
      <c r="BE229" s="318"/>
      <c r="BF229" s="318"/>
      <c r="BG229" s="318"/>
      <c r="BH229" s="318"/>
      <c r="BI229" s="318"/>
      <c r="BJ229" s="319" t="s">
        <v>97</v>
      </c>
      <c r="BK229" s="320"/>
      <c r="BL229" s="321"/>
      <c r="BM229" s="322"/>
      <c r="BN229" s="429"/>
    </row>
    <row r="230" spans="1:66" ht="75" customHeight="1">
      <c r="A230" s="428"/>
      <c r="B230" s="323" t="s">
        <v>11</v>
      </c>
      <c r="C230" s="323" t="s">
        <v>12</v>
      </c>
      <c r="D230" s="323" t="s">
        <v>13</v>
      </c>
      <c r="E230" s="324" t="s">
        <v>170</v>
      </c>
      <c r="F230" s="324" t="s">
        <v>171</v>
      </c>
      <c r="G230" s="324" t="s">
        <v>16</v>
      </c>
      <c r="H230" s="325" t="s">
        <v>98</v>
      </c>
      <c r="I230" s="326"/>
      <c r="J230" s="326"/>
      <c r="K230" s="326"/>
      <c r="L230" s="325" t="s">
        <v>17</v>
      </c>
      <c r="M230" s="326"/>
      <c r="N230" s="327"/>
      <c r="O230" s="326"/>
      <c r="P230" s="325" t="s">
        <v>99</v>
      </c>
      <c r="Q230" s="326"/>
      <c r="R230" s="326"/>
      <c r="S230" s="326"/>
      <c r="T230" s="328" t="s">
        <v>18</v>
      </c>
      <c r="U230" s="329" t="s">
        <v>138</v>
      </c>
      <c r="V230" s="326"/>
      <c r="W230" s="326"/>
      <c r="X230" s="326"/>
      <c r="Y230" s="330" t="s">
        <v>19</v>
      </c>
      <c r="Z230" s="331"/>
      <c r="AA230" s="332" t="s">
        <v>86</v>
      </c>
      <c r="AB230" s="333"/>
      <c r="AC230" s="248" t="s">
        <v>87</v>
      </c>
      <c r="AD230" s="326"/>
      <c r="AE230" s="326"/>
      <c r="AF230" s="334"/>
      <c r="AG230" s="248" t="s">
        <v>88</v>
      </c>
      <c r="AH230" s="333"/>
      <c r="AI230" s="248" t="s">
        <v>139</v>
      </c>
      <c r="AJ230" s="326"/>
      <c r="AK230" s="326"/>
      <c r="AL230" s="326"/>
      <c r="AM230" s="332" t="s">
        <v>20</v>
      </c>
      <c r="AN230" s="325" t="s">
        <v>21</v>
      </c>
      <c r="AO230" s="326"/>
      <c r="AP230" s="326"/>
      <c r="AQ230" s="326"/>
      <c r="AR230" s="325" t="s">
        <v>22</v>
      </c>
      <c r="AS230" s="326"/>
      <c r="AT230" s="326"/>
      <c r="AU230" s="326"/>
      <c r="AV230" s="325" t="s">
        <v>23</v>
      </c>
      <c r="AW230" s="326"/>
      <c r="AX230" s="326"/>
      <c r="AY230" s="326"/>
      <c r="AZ230" s="325" t="s">
        <v>172</v>
      </c>
      <c r="BA230" s="326"/>
      <c r="BB230" s="326"/>
      <c r="BC230" s="326"/>
      <c r="BD230" s="335" t="s">
        <v>24</v>
      </c>
      <c r="BE230" s="330" t="s">
        <v>25</v>
      </c>
      <c r="BF230" s="333"/>
      <c r="BG230" s="330" t="s">
        <v>26</v>
      </c>
      <c r="BH230" s="333"/>
      <c r="BI230" s="336" t="s">
        <v>27</v>
      </c>
      <c r="BJ230" s="337"/>
      <c r="BK230" s="320"/>
      <c r="BL230" s="338"/>
      <c r="BM230" s="339"/>
      <c r="BN230" s="430"/>
    </row>
    <row r="231" spans="1:66" ht="12.75" customHeight="1" thickBot="1">
      <c r="A231" s="431"/>
      <c r="B231" s="432"/>
      <c r="C231" s="432"/>
      <c r="D231" s="432"/>
      <c r="E231" s="433"/>
      <c r="F231" s="433"/>
      <c r="G231" s="433"/>
      <c r="H231" s="434" t="s">
        <v>173</v>
      </c>
      <c r="I231" s="435" t="s">
        <v>29</v>
      </c>
      <c r="J231" s="435" t="s">
        <v>174</v>
      </c>
      <c r="K231" s="435" t="s">
        <v>29</v>
      </c>
      <c r="L231" s="434" t="s">
        <v>173</v>
      </c>
      <c r="M231" s="435" t="s">
        <v>29</v>
      </c>
      <c r="N231" s="436" t="s">
        <v>174</v>
      </c>
      <c r="O231" s="435" t="s">
        <v>29</v>
      </c>
      <c r="P231" s="437" t="s">
        <v>173</v>
      </c>
      <c r="Q231" s="435" t="s">
        <v>29</v>
      </c>
      <c r="R231" s="435" t="s">
        <v>174</v>
      </c>
      <c r="S231" s="435" t="s">
        <v>29</v>
      </c>
      <c r="T231" s="438"/>
      <c r="U231" s="437" t="s">
        <v>173</v>
      </c>
      <c r="V231" s="435" t="s">
        <v>29</v>
      </c>
      <c r="W231" s="435" t="s">
        <v>174</v>
      </c>
      <c r="X231" s="435" t="s">
        <v>29</v>
      </c>
      <c r="Y231" s="437" t="s">
        <v>31</v>
      </c>
      <c r="Z231" s="435" t="s">
        <v>29</v>
      </c>
      <c r="AA231" s="437" t="s">
        <v>173</v>
      </c>
      <c r="AB231" s="437" t="s">
        <v>174</v>
      </c>
      <c r="AC231" s="437" t="s">
        <v>173</v>
      </c>
      <c r="AD231" s="435" t="s">
        <v>29</v>
      </c>
      <c r="AE231" s="437" t="s">
        <v>174</v>
      </c>
      <c r="AF231" s="435" t="s">
        <v>29</v>
      </c>
      <c r="AG231" s="437" t="s">
        <v>173</v>
      </c>
      <c r="AH231" s="437" t="s">
        <v>174</v>
      </c>
      <c r="AI231" s="437" t="s">
        <v>173</v>
      </c>
      <c r="AJ231" s="435" t="s">
        <v>29</v>
      </c>
      <c r="AK231" s="437" t="s">
        <v>174</v>
      </c>
      <c r="AL231" s="435" t="s">
        <v>29</v>
      </c>
      <c r="AM231" s="432"/>
      <c r="AN231" s="437" t="s">
        <v>173</v>
      </c>
      <c r="AO231" s="435" t="s">
        <v>29</v>
      </c>
      <c r="AP231" s="435" t="s">
        <v>174</v>
      </c>
      <c r="AQ231" s="435" t="s">
        <v>29</v>
      </c>
      <c r="AR231" s="437" t="s">
        <v>173</v>
      </c>
      <c r="AS231" s="435" t="s">
        <v>29</v>
      </c>
      <c r="AT231" s="435" t="s">
        <v>174</v>
      </c>
      <c r="AU231" s="435" t="s">
        <v>29</v>
      </c>
      <c r="AV231" s="437" t="s">
        <v>173</v>
      </c>
      <c r="AW231" s="435" t="s">
        <v>29</v>
      </c>
      <c r="AX231" s="435" t="s">
        <v>174</v>
      </c>
      <c r="AY231" s="435" t="s">
        <v>29</v>
      </c>
      <c r="AZ231" s="437" t="s">
        <v>173</v>
      </c>
      <c r="BA231" s="435" t="s">
        <v>29</v>
      </c>
      <c r="BB231" s="435" t="s">
        <v>174</v>
      </c>
      <c r="BC231" s="439" t="s">
        <v>29</v>
      </c>
      <c r="BD231" s="440"/>
      <c r="BE231" s="437" t="s">
        <v>173</v>
      </c>
      <c r="BF231" s="437" t="s">
        <v>174</v>
      </c>
      <c r="BG231" s="437" t="s">
        <v>173</v>
      </c>
      <c r="BH231" s="437" t="s">
        <v>174</v>
      </c>
      <c r="BI231" s="441"/>
      <c r="BJ231" s="442"/>
      <c r="BK231" s="437" t="s">
        <v>173</v>
      </c>
      <c r="BL231" s="437" t="s">
        <v>174</v>
      </c>
      <c r="BM231" s="437" t="s">
        <v>173</v>
      </c>
      <c r="BN231" s="443" t="s">
        <v>174</v>
      </c>
    </row>
    <row r="232" spans="1:66" s="355" customFormat="1" ht="19.5" customHeight="1">
      <c r="A232" s="340">
        <v>1</v>
      </c>
      <c r="B232" s="341" t="s">
        <v>37</v>
      </c>
      <c r="C232" s="340">
        <v>66</v>
      </c>
      <c r="D232" s="340"/>
      <c r="E232" s="342">
        <f>I232+M232+Q232+V232+Z232+AD232+AJ232+AO232+AS232+AW232+BA232</f>
        <v>0</v>
      </c>
      <c r="F232" s="342">
        <f>K232+O232+S232+X232+AF232+AL232+AQ232+AU232+AY232+BC232</f>
        <v>0</v>
      </c>
      <c r="G232" s="342"/>
      <c r="H232" s="344"/>
      <c r="I232" s="342"/>
      <c r="J232" s="342"/>
      <c r="K232" s="342"/>
      <c r="L232" s="344"/>
      <c r="M232" s="342"/>
      <c r="N232" s="343"/>
      <c r="O232" s="342"/>
      <c r="P232" s="344"/>
      <c r="Q232" s="344"/>
      <c r="R232" s="344"/>
      <c r="S232" s="344"/>
      <c r="T232" s="344"/>
      <c r="U232" s="343"/>
      <c r="V232" s="342"/>
      <c r="W232" s="342"/>
      <c r="X232" s="342"/>
      <c r="Y232" s="345"/>
      <c r="Z232" s="340"/>
      <c r="AA232" s="340"/>
      <c r="AB232" s="345"/>
      <c r="AC232" s="340"/>
      <c r="AD232" s="340"/>
      <c r="AE232" s="345"/>
      <c r="AF232" s="340"/>
      <c r="AG232" s="340"/>
      <c r="AH232" s="345"/>
      <c r="AI232" s="340"/>
      <c r="AJ232" s="342">
        <f>AI232*2*0.234</f>
        <v>0</v>
      </c>
      <c r="AK232" s="345"/>
      <c r="AL232" s="342"/>
      <c r="AM232" s="340"/>
      <c r="AN232" s="344"/>
      <c r="AO232" s="342"/>
      <c r="AP232" s="342"/>
      <c r="AQ232" s="342"/>
      <c r="AR232" s="344"/>
      <c r="AS232" s="342"/>
      <c r="AT232" s="342"/>
      <c r="AU232" s="342"/>
      <c r="AV232" s="344"/>
      <c r="AW232" s="342"/>
      <c r="AX232" s="342"/>
      <c r="AY232" s="342"/>
      <c r="AZ232" s="344"/>
      <c r="BA232" s="346"/>
      <c r="BB232" s="346"/>
      <c r="BC232" s="346"/>
      <c r="BD232" s="346"/>
      <c r="BE232" s="345">
        <v>1</v>
      </c>
      <c r="BF232" s="345">
        <v>1</v>
      </c>
      <c r="BG232" s="345">
        <v>1</v>
      </c>
      <c r="BH232" s="345">
        <v>1</v>
      </c>
      <c r="BI232" s="345"/>
      <c r="BJ232" s="345"/>
      <c r="BK232" s="340"/>
      <c r="BL232" s="345"/>
      <c r="BM232" s="345">
        <v>1</v>
      </c>
      <c r="BN232" s="347">
        <v>1</v>
      </c>
    </row>
    <row r="233" spans="1:66" ht="12">
      <c r="A233" s="340"/>
      <c r="B233" s="341"/>
      <c r="C233" s="340"/>
      <c r="D233" s="340"/>
      <c r="E233" s="342"/>
      <c r="F233" s="342"/>
      <c r="G233" s="342"/>
      <c r="H233" s="344"/>
      <c r="I233" s="342"/>
      <c r="J233" s="342"/>
      <c r="K233" s="344"/>
      <c r="L233" s="344"/>
      <c r="M233" s="342"/>
      <c r="N233" s="343"/>
      <c r="O233" s="342"/>
      <c r="P233" s="344"/>
      <c r="Q233" s="344"/>
      <c r="R233" s="344"/>
      <c r="S233" s="344"/>
      <c r="T233" s="344"/>
      <c r="U233" s="343"/>
      <c r="V233" s="342"/>
      <c r="W233" s="342"/>
      <c r="X233" s="342"/>
      <c r="Y233" s="345"/>
      <c r="Z233" s="340"/>
      <c r="AA233" s="340"/>
      <c r="AB233" s="345"/>
      <c r="AC233" s="340"/>
      <c r="AD233" s="340"/>
      <c r="AE233" s="345"/>
      <c r="AF233" s="340"/>
      <c r="AG233" s="340"/>
      <c r="AH233" s="345"/>
      <c r="AI233" s="340"/>
      <c r="AJ233" s="342"/>
      <c r="AK233" s="345"/>
      <c r="AL233" s="342"/>
      <c r="AM233" s="340"/>
      <c r="AN233" s="344"/>
      <c r="AO233" s="342"/>
      <c r="AP233" s="342"/>
      <c r="AQ233" s="342"/>
      <c r="AR233" s="344"/>
      <c r="AS233" s="342"/>
      <c r="AT233" s="342"/>
      <c r="AU233" s="342"/>
      <c r="AV233" s="344"/>
      <c r="AW233" s="342"/>
      <c r="AX233" s="342"/>
      <c r="AY233" s="342"/>
      <c r="AZ233" s="344"/>
      <c r="BA233" s="346"/>
      <c r="BB233" s="346"/>
      <c r="BC233" s="346"/>
      <c r="BD233" s="346"/>
      <c r="BE233" s="345"/>
      <c r="BF233" s="345"/>
      <c r="BG233" s="345"/>
      <c r="BH233" s="345"/>
      <c r="BI233" s="345"/>
      <c r="BJ233" s="345"/>
      <c r="BK233" s="340"/>
      <c r="BL233" s="345"/>
      <c r="BM233" s="345"/>
      <c r="BN233" s="347"/>
    </row>
    <row r="234" spans="1:66" ht="12">
      <c r="A234" s="349">
        <f>A233+A232+A227+A212+A198+A128+A101+A60+A34</f>
        <v>194</v>
      </c>
      <c r="B234" s="349" t="s">
        <v>93</v>
      </c>
      <c r="C234" s="373"/>
      <c r="D234" s="374"/>
      <c r="E234" s="352">
        <f>E233+E232+E227+E212+E198+E128+E101+E60+E34</f>
        <v>4995.385800000001</v>
      </c>
      <c r="F234" s="352">
        <f>F233+F232+F227+F212+F198+F128+F101+F60+F34</f>
        <v>4628.215246014493</v>
      </c>
      <c r="G234" s="352">
        <f>G233+G232+G227+G212+G198+G128+G101+G60+G34</f>
        <v>0</v>
      </c>
      <c r="H234" s="354">
        <f>H233+H232+H227+H212+H198+H128+H101+H60+H34</f>
        <v>2.671500000000001</v>
      </c>
      <c r="I234" s="352">
        <f>I233+I232+I227+I212+I198+I128+I101+I60+I34</f>
        <v>1392.77</v>
      </c>
      <c r="J234" s="354">
        <f>J227+J212+J198+J128+J101+J60+J34+J232+J233</f>
        <v>2.0913000000000004</v>
      </c>
      <c r="K234" s="352">
        <f>K227+K212+K198+K128+K101+K60+K34+K232+K233</f>
        <v>1153.7788</v>
      </c>
      <c r="L234" s="354">
        <f>L233+L232+L227+L212+L198+L128+L101+L60+L34</f>
        <v>5.1404000000000005</v>
      </c>
      <c r="M234" s="352">
        <f>M233+M232+M227+M212+M198+M128+M101+M60+M34</f>
        <v>1796.3925</v>
      </c>
      <c r="N234" s="353">
        <f>N227+N212+N198+N128+N101+N60+N34+N232+N233</f>
        <v>6.1286</v>
      </c>
      <c r="O234" s="352">
        <f>O227+O212+O198+O128+O101+O60+O34+O232+O233</f>
        <v>2206.2960000000003</v>
      </c>
      <c r="P234" s="354">
        <f>P233+P232+P227+P212+P198+P128+P101+P60+P34</f>
        <v>0.138</v>
      </c>
      <c r="Q234" s="354">
        <f>Q233+Q232+Q227+Q212+Q198+Q128+Q101+Q60+Q34</f>
        <v>48.300000000000004</v>
      </c>
      <c r="R234" s="352">
        <f>R227+R212+R198+R128+R101+R60+R34+R232+R233</f>
        <v>0.128</v>
      </c>
      <c r="S234" s="352">
        <f>S227+S212+S198+S128+S101+S60+S34+S232+S233</f>
        <v>44.800000000000004</v>
      </c>
      <c r="T234" s="352">
        <f>T227+T212+T198+T128+T101+T60+T34+T232+T233</f>
        <v>0</v>
      </c>
      <c r="U234" s="353">
        <f>U233+U232+U227+U212+U198+U128+U101+U60+U34</f>
        <v>0.1195</v>
      </c>
      <c r="V234" s="352">
        <f>V233+V232+V227+V212+V198+V128+V101+V60+V34</f>
        <v>110.44449999999999</v>
      </c>
      <c r="W234" s="352">
        <f>W227+W212+W198+W128+W101+W60+W34+W232+W233</f>
        <v>0.1091</v>
      </c>
      <c r="X234" s="352">
        <f>X227+X212+X198+X128+X101+X60+X34+X232+X233</f>
        <v>92.4914</v>
      </c>
      <c r="Y234" s="349">
        <f>Y233+Y232+Y227+Y212+Y198+Y128+Y101+Y60+Y34</f>
        <v>0</v>
      </c>
      <c r="Z234" s="352">
        <f>Z233+Z232+Z227+Z212+Z198+Z128+Z101+Z60+Z34</f>
        <v>0</v>
      </c>
      <c r="AA234" s="349">
        <f>AA233+AA232+AA227+AA212+AA198+AA128+AA101+AA60+AA34</f>
        <v>445</v>
      </c>
      <c r="AB234" s="349">
        <f>AB227+AB212+AB198+AB128+AB101+AB60+AB34+AB232+AB233</f>
        <v>361</v>
      </c>
      <c r="AC234" s="349">
        <f>AC233+AC232+AC227+AC212+AC198+AC128+AC101+AC60+AC34</f>
        <v>6</v>
      </c>
      <c r="AD234" s="352">
        <f>AD233+AD232+AD227+AD212+AD198+AD128+AD101+AD60+AD34</f>
        <v>25.200000000000003</v>
      </c>
      <c r="AE234" s="349">
        <f>AE227+AE212+AE198+AE128+AE101+AE60+AE34+AE232+AE233</f>
        <v>4</v>
      </c>
      <c r="AF234" s="352">
        <f>AF227+AF212+AF198+AF128+AF101+AF60+AF34+AF232+AF233</f>
        <v>16.8</v>
      </c>
      <c r="AG234" s="349">
        <f>AG233+AG232+AG227+AG212+AG198+AG128+AG101+AG60+AG34</f>
        <v>1120.7</v>
      </c>
      <c r="AH234" s="349">
        <f>AH227+AH212+AH198+AH128+AH101+AH60+AH34+AH232+AH233</f>
        <v>801.2</v>
      </c>
      <c r="AI234" s="349">
        <f>AI233+AI232+AI227+AI212+AI198+AI128+AI101+AI60+AI34</f>
        <v>2833</v>
      </c>
      <c r="AJ234" s="352">
        <f>AJ233+AJ232+AJ227+AJ212+AJ198+AJ128+AJ101+AJ60+AJ34</f>
        <v>421.57680000000005</v>
      </c>
      <c r="AK234" s="349">
        <f>AK227+AK212+AK198+AK128+AK101+AK60+AK34+AK232+AK233</f>
        <v>1</v>
      </c>
      <c r="AL234" s="352">
        <f>AL227+AL212+AL198+AL128+AL101+AL60+AL34+AL232+AL233</f>
        <v>1.391304347826087</v>
      </c>
      <c r="AM234" s="352">
        <f>AM233+AM232+AM227+AM212+AM198+AM128+AM101+AM60+AM34</f>
        <v>0</v>
      </c>
      <c r="AN234" s="354">
        <f>AN233+AN232+AN227+AN212+AN198+AN128+AN101+AN60+AN34</f>
        <v>0.01</v>
      </c>
      <c r="AO234" s="352">
        <f>AO233+AO232+AO227+AO212+AO198+AO128+AO101+AO60+AO34</f>
        <v>539.221</v>
      </c>
      <c r="AP234" s="352">
        <f>AP227+AP212+AP198+AP128+AP101+AP60+AP34+AP232+AP233</f>
        <v>0.01</v>
      </c>
      <c r="AQ234" s="352">
        <f>AQ227+AQ212+AQ198+AQ128+AQ101+AQ60+AQ34+AQ232+AQ233</f>
        <v>617.7565000000001</v>
      </c>
      <c r="AR234" s="354">
        <f>AR233+AR232+AR227+AR212+AR198+AR128+AR101+AR60+AR34</f>
        <v>0.606</v>
      </c>
      <c r="AS234" s="352">
        <f>AS233+AS232+AS227+AS212+AS198+AS128+AS101+AS60+AS34</f>
        <v>381.672</v>
      </c>
      <c r="AT234" s="352">
        <f>AT227+AT212+AT198+AT128+AT101+AT60+AT34+AT232+AT233</f>
        <v>0.359</v>
      </c>
      <c r="AU234" s="352">
        <f>AU227+AU212+AU198+AU128+AU101+AU60+AU34+AU232+AU233</f>
        <v>464.93524166666674</v>
      </c>
      <c r="AV234" s="354">
        <f>AV233+AV232+AV227+AV212+AV198+AV128+AV101+AV60+AV34</f>
        <v>0</v>
      </c>
      <c r="AW234" s="352">
        <f>AW233+AW232+AW227+AW212+AW198+AW128+AW101+AW60+AW34</f>
        <v>11.808</v>
      </c>
      <c r="AX234" s="352">
        <f>AX227+AX212+AX198+AX128+AX101+AX60+AX34+AX232+AX233</f>
        <v>0</v>
      </c>
      <c r="AY234" s="352">
        <f>AY227+AY212+AY198+AY128+AY101+AY60+AY34+AY232+AY233</f>
        <v>0</v>
      </c>
      <c r="AZ234" s="354">
        <f>AZ233+AZ232+AZ227+AZ212+AZ198+AZ128+AZ101+AZ60+AZ34</f>
        <v>0.264</v>
      </c>
      <c r="BA234" s="352">
        <f>BA233+BA232+BA227+BA212+BA198+BA128+BA101+BA60+BA34</f>
        <v>174.947</v>
      </c>
      <c r="BB234" s="352">
        <f>BB227+BB212+BB198+BB128+BB101+BB60+BB34+BB232+BB233</f>
        <v>0.008</v>
      </c>
      <c r="BC234" s="352">
        <f>BC227+BC212+BC198+BC128+BC101+BC60+BC34+BC232+BC233</f>
        <v>6.35</v>
      </c>
      <c r="BD234" s="352"/>
      <c r="BE234" s="349">
        <f>BE233+BE232+BE227+BE212+BE198+BE128+BE101+BE60+BE34</f>
        <v>77</v>
      </c>
      <c r="BF234" s="349">
        <f>BF233+BF232+BF227+BF212+BF198+BF128+BF101+BF60+BF34</f>
        <v>74</v>
      </c>
      <c r="BG234" s="349">
        <f>BG233+BG232+BG227+BG212+BG198+BG128+BG101+BG60+BG34</f>
        <v>645</v>
      </c>
      <c r="BH234" s="349">
        <f>BH233+BH232+BH227+BH212+BH198+BH128+BH101+BH60+BH34</f>
        <v>635</v>
      </c>
      <c r="BI234" s="349">
        <f>BI233+BI232+BI227+BI212+BI198+BI128+BI101+BI60+BI34</f>
        <v>0</v>
      </c>
      <c r="BJ234" s="349">
        <f>BJ233+BJ232+BJ227+BJ212+BJ198+BJ128+BJ101+BJ60+BJ34</f>
        <v>0</v>
      </c>
      <c r="BK234" s="349">
        <f>BK233+BK232+BK227+BK212+BK198+BK128+BK101+BK60+BK34</f>
        <v>33</v>
      </c>
      <c r="BL234" s="349">
        <f>BL233+BL232+BL227+BL212+BL198+BL128+BL101+BL60+BL34</f>
        <v>105</v>
      </c>
      <c r="BM234" s="349">
        <f>BM233+BM232+BM227+BM212+BM198+BM128+BM101+BM60+BM34</f>
        <v>194</v>
      </c>
      <c r="BN234" s="349">
        <f>BN233+BN232+BN227+BN212+BN198+BN128+BN101+BN60+BN34</f>
        <v>145</v>
      </c>
    </row>
    <row r="235" spans="1:66" ht="12">
      <c r="A235" s="375"/>
      <c r="B235" s="375" t="s">
        <v>94</v>
      </c>
      <c r="C235" s="375"/>
      <c r="D235" s="375"/>
      <c r="E235" s="346"/>
      <c r="F235" s="346"/>
      <c r="G235" s="346"/>
      <c r="H235" s="376"/>
      <c r="I235" s="346"/>
      <c r="J235" s="346"/>
      <c r="K235" s="346"/>
      <c r="L235" s="376"/>
      <c r="M235" s="346"/>
      <c r="N235" s="353">
        <f>N234-N239</f>
        <v>3.7154000000000003</v>
      </c>
      <c r="O235" s="346">
        <f>O234-O239</f>
        <v>1337.5440000000003</v>
      </c>
      <c r="P235" s="376"/>
      <c r="Q235" s="376"/>
      <c r="R235" s="346"/>
      <c r="S235" s="346"/>
      <c r="T235" s="347"/>
      <c r="U235" s="371"/>
      <c r="V235" s="346"/>
      <c r="W235" s="346"/>
      <c r="X235" s="346"/>
      <c r="Y235" s="347"/>
      <c r="Z235" s="375"/>
      <c r="AA235" s="347"/>
      <c r="AB235" s="347"/>
      <c r="AC235" s="347"/>
      <c r="AD235" s="346"/>
      <c r="AE235" s="347"/>
      <c r="AF235" s="346"/>
      <c r="AG235" s="347"/>
      <c r="AH235" s="347"/>
      <c r="AI235" s="347"/>
      <c r="AJ235" s="346"/>
      <c r="AK235" s="347"/>
      <c r="AL235" s="346"/>
      <c r="AM235" s="376"/>
      <c r="AN235" s="376"/>
      <c r="AO235" s="376"/>
      <c r="AP235" s="346"/>
      <c r="AQ235" s="346"/>
      <c r="AR235" s="376"/>
      <c r="AS235" s="376"/>
      <c r="AT235" s="346"/>
      <c r="AU235" s="346"/>
      <c r="AV235" s="376"/>
      <c r="AW235" s="346"/>
      <c r="AX235" s="346"/>
      <c r="AY235" s="346"/>
      <c r="AZ235" s="376"/>
      <c r="BA235" s="375"/>
      <c r="BB235" s="346"/>
      <c r="BC235" s="346"/>
      <c r="BD235" s="376"/>
      <c r="BE235" s="347"/>
      <c r="BF235" s="347"/>
      <c r="BG235" s="345"/>
      <c r="BH235" s="345"/>
      <c r="BI235" s="345"/>
      <c r="BJ235" s="377"/>
      <c r="BK235" s="345"/>
      <c r="BL235" s="345"/>
      <c r="BM235" s="345"/>
      <c r="BN235" s="347"/>
    </row>
    <row r="236" spans="1:66" ht="12">
      <c r="A236" s="349">
        <v>1</v>
      </c>
      <c r="B236" s="378" t="str">
        <f>B34</f>
        <v>Итого "ЖЭУ-9"</v>
      </c>
      <c r="C236" s="378"/>
      <c r="D236" s="352"/>
      <c r="E236" s="352">
        <f aca="true" t="shared" si="37" ref="E236:BC236">E34</f>
        <v>333.544</v>
      </c>
      <c r="F236" s="352">
        <f t="shared" si="37"/>
        <v>365.6721</v>
      </c>
      <c r="G236" s="352">
        <f t="shared" si="37"/>
        <v>0</v>
      </c>
      <c r="H236" s="354">
        <f t="shared" si="37"/>
        <v>0.015</v>
      </c>
      <c r="I236" s="352">
        <f t="shared" si="37"/>
        <v>21.75</v>
      </c>
      <c r="J236" s="342">
        <f t="shared" si="37"/>
        <v>0.02</v>
      </c>
      <c r="K236" s="342">
        <f t="shared" si="37"/>
        <v>29</v>
      </c>
      <c r="L236" s="354">
        <f t="shared" si="37"/>
        <v>0.2786</v>
      </c>
      <c r="M236" s="352">
        <f t="shared" si="37"/>
        <v>100.296</v>
      </c>
      <c r="N236" s="343">
        <f t="shared" si="37"/>
        <v>0.37149999999999994</v>
      </c>
      <c r="O236" s="342">
        <f t="shared" si="37"/>
        <v>133.74</v>
      </c>
      <c r="P236" s="354">
        <f t="shared" si="37"/>
        <v>0</v>
      </c>
      <c r="Q236" s="354">
        <f t="shared" si="37"/>
        <v>0</v>
      </c>
      <c r="R236" s="342">
        <f t="shared" si="37"/>
        <v>0</v>
      </c>
      <c r="S236" s="342">
        <f t="shared" si="37"/>
        <v>0</v>
      </c>
      <c r="T236" s="349">
        <f t="shared" si="37"/>
        <v>0</v>
      </c>
      <c r="U236" s="353">
        <f t="shared" si="37"/>
        <v>0.024</v>
      </c>
      <c r="V236" s="352">
        <f t="shared" si="37"/>
        <v>25.128</v>
      </c>
      <c r="W236" s="342">
        <f t="shared" si="37"/>
        <v>0.0213</v>
      </c>
      <c r="X236" s="342">
        <f t="shared" si="37"/>
        <v>22.301099999999998</v>
      </c>
      <c r="Y236" s="349">
        <f t="shared" si="37"/>
        <v>0</v>
      </c>
      <c r="Z236" s="352">
        <f t="shared" si="37"/>
        <v>0</v>
      </c>
      <c r="AA236" s="349">
        <f t="shared" si="37"/>
        <v>27</v>
      </c>
      <c r="AB236" s="345">
        <f t="shared" si="37"/>
        <v>27</v>
      </c>
      <c r="AC236" s="349">
        <f t="shared" si="37"/>
        <v>0</v>
      </c>
      <c r="AD236" s="352">
        <f t="shared" si="37"/>
        <v>0</v>
      </c>
      <c r="AE236" s="345">
        <f t="shared" si="37"/>
        <v>0</v>
      </c>
      <c r="AF236" s="342">
        <f t="shared" si="37"/>
        <v>0</v>
      </c>
      <c r="AG236" s="349">
        <f t="shared" si="37"/>
        <v>19</v>
      </c>
      <c r="AH236" s="345">
        <f t="shared" si="37"/>
        <v>23.500000000000004</v>
      </c>
      <c r="AI236" s="349">
        <f t="shared" si="37"/>
        <v>0</v>
      </c>
      <c r="AJ236" s="352">
        <f t="shared" si="37"/>
        <v>0</v>
      </c>
      <c r="AK236" s="345">
        <f t="shared" si="37"/>
        <v>0</v>
      </c>
      <c r="AL236" s="342">
        <f t="shared" si="37"/>
        <v>0</v>
      </c>
      <c r="AM236" s="352">
        <f t="shared" si="37"/>
        <v>0</v>
      </c>
      <c r="AN236" s="354">
        <f t="shared" si="37"/>
        <v>0</v>
      </c>
      <c r="AO236" s="352">
        <f t="shared" si="37"/>
        <v>186.37</v>
      </c>
      <c r="AP236" s="342">
        <f t="shared" si="37"/>
        <v>0</v>
      </c>
      <c r="AQ236" s="342">
        <f t="shared" si="37"/>
        <v>180.631</v>
      </c>
      <c r="AR236" s="354">
        <f t="shared" si="37"/>
        <v>0</v>
      </c>
      <c r="AS236" s="352">
        <f t="shared" si="37"/>
        <v>0</v>
      </c>
      <c r="AT236" s="342">
        <f t="shared" si="37"/>
        <v>0</v>
      </c>
      <c r="AU236" s="342">
        <f t="shared" si="37"/>
        <v>0</v>
      </c>
      <c r="AV236" s="354">
        <f t="shared" si="37"/>
        <v>0</v>
      </c>
      <c r="AW236" s="352">
        <f t="shared" si="37"/>
        <v>0</v>
      </c>
      <c r="AX236" s="342">
        <f t="shared" si="37"/>
        <v>0</v>
      </c>
      <c r="AY236" s="342">
        <f t="shared" si="37"/>
        <v>0</v>
      </c>
      <c r="AZ236" s="354">
        <f t="shared" si="37"/>
        <v>0</v>
      </c>
      <c r="BA236" s="352">
        <f t="shared" si="37"/>
        <v>0</v>
      </c>
      <c r="BB236" s="342">
        <f t="shared" si="37"/>
        <v>0</v>
      </c>
      <c r="BC236" s="342">
        <f t="shared" si="37"/>
        <v>0</v>
      </c>
      <c r="BD236" s="352"/>
      <c r="BE236" s="349">
        <f aca="true" t="shared" si="38" ref="BE236:BN236">BE34</f>
        <v>1</v>
      </c>
      <c r="BF236" s="345">
        <f t="shared" si="38"/>
        <v>1</v>
      </c>
      <c r="BG236" s="349">
        <f t="shared" si="38"/>
        <v>72</v>
      </c>
      <c r="BH236" s="345">
        <f t="shared" si="38"/>
        <v>62</v>
      </c>
      <c r="BI236" s="349">
        <f t="shared" si="38"/>
        <v>0</v>
      </c>
      <c r="BJ236" s="349">
        <f t="shared" si="38"/>
        <v>0</v>
      </c>
      <c r="BK236" s="349">
        <f t="shared" si="38"/>
        <v>0</v>
      </c>
      <c r="BL236" s="345">
        <f t="shared" si="38"/>
        <v>17</v>
      </c>
      <c r="BM236" s="349">
        <f t="shared" si="38"/>
        <v>22</v>
      </c>
      <c r="BN236" s="345">
        <f t="shared" si="38"/>
        <v>17</v>
      </c>
    </row>
    <row r="237" spans="1:66" ht="12">
      <c r="A237" s="349">
        <v>2</v>
      </c>
      <c r="B237" s="352" t="str">
        <f>B60</f>
        <v>Итого "Инвест."</v>
      </c>
      <c r="C237" s="352"/>
      <c r="D237" s="352"/>
      <c r="E237" s="352">
        <f aca="true" t="shared" si="39" ref="E237:BC237">E60</f>
        <v>189.876</v>
      </c>
      <c r="F237" s="352">
        <f t="shared" si="39"/>
        <v>213.15400000000002</v>
      </c>
      <c r="G237" s="352">
        <f t="shared" si="39"/>
        <v>0</v>
      </c>
      <c r="H237" s="354">
        <f t="shared" si="39"/>
        <v>0.032</v>
      </c>
      <c r="I237" s="352">
        <f t="shared" si="39"/>
        <v>26.900000000000002</v>
      </c>
      <c r="J237" s="342">
        <f t="shared" si="39"/>
        <v>0.09</v>
      </c>
      <c r="K237" s="342">
        <f t="shared" si="39"/>
        <v>42.75</v>
      </c>
      <c r="L237" s="354">
        <f t="shared" si="39"/>
        <v>0.040999999999999995</v>
      </c>
      <c r="M237" s="352">
        <f t="shared" si="39"/>
        <v>14.760000000000002</v>
      </c>
      <c r="N237" s="343">
        <f t="shared" si="39"/>
        <v>0.049999999999999996</v>
      </c>
      <c r="O237" s="342">
        <f t="shared" si="39"/>
        <v>18</v>
      </c>
      <c r="P237" s="354">
        <f t="shared" si="39"/>
        <v>0</v>
      </c>
      <c r="Q237" s="354">
        <f t="shared" si="39"/>
        <v>0</v>
      </c>
      <c r="R237" s="342">
        <f t="shared" si="39"/>
        <v>0</v>
      </c>
      <c r="S237" s="342">
        <f t="shared" si="39"/>
        <v>0</v>
      </c>
      <c r="T237" s="349">
        <f t="shared" si="39"/>
        <v>0</v>
      </c>
      <c r="U237" s="353">
        <f t="shared" si="39"/>
        <v>0.022</v>
      </c>
      <c r="V237" s="352">
        <f t="shared" si="39"/>
        <v>23.034</v>
      </c>
      <c r="W237" s="342">
        <f t="shared" si="39"/>
        <v>0.026</v>
      </c>
      <c r="X237" s="342">
        <f t="shared" si="39"/>
        <v>27.222</v>
      </c>
      <c r="Y237" s="349">
        <f t="shared" si="39"/>
        <v>0</v>
      </c>
      <c r="Z237" s="352">
        <f t="shared" si="39"/>
        <v>0</v>
      </c>
      <c r="AA237" s="349">
        <f t="shared" si="39"/>
        <v>54</v>
      </c>
      <c r="AB237" s="345">
        <f t="shared" si="39"/>
        <v>54</v>
      </c>
      <c r="AC237" s="349">
        <f t="shared" si="39"/>
        <v>0</v>
      </c>
      <c r="AD237" s="352">
        <f t="shared" si="39"/>
        <v>0</v>
      </c>
      <c r="AE237" s="345">
        <f t="shared" si="39"/>
        <v>0</v>
      </c>
      <c r="AF237" s="342">
        <f t="shared" si="39"/>
        <v>0</v>
      </c>
      <c r="AG237" s="349">
        <f t="shared" si="39"/>
        <v>165</v>
      </c>
      <c r="AH237" s="345">
        <f t="shared" si="39"/>
        <v>48</v>
      </c>
      <c r="AI237" s="349">
        <f t="shared" si="39"/>
        <v>0</v>
      </c>
      <c r="AJ237" s="352">
        <f t="shared" si="39"/>
        <v>0</v>
      </c>
      <c r="AK237" s="345">
        <f t="shared" si="39"/>
        <v>0</v>
      </c>
      <c r="AL237" s="342">
        <f t="shared" si="39"/>
        <v>0</v>
      </c>
      <c r="AM237" s="352">
        <f t="shared" si="39"/>
        <v>0</v>
      </c>
      <c r="AN237" s="354">
        <f t="shared" si="39"/>
        <v>0.01</v>
      </c>
      <c r="AO237" s="352">
        <f t="shared" si="39"/>
        <v>21.528</v>
      </c>
      <c r="AP237" s="342">
        <f t="shared" si="39"/>
        <v>0.01</v>
      </c>
      <c r="AQ237" s="342">
        <f t="shared" si="39"/>
        <v>21.528</v>
      </c>
      <c r="AR237" s="354">
        <f t="shared" si="39"/>
        <v>0.37</v>
      </c>
      <c r="AS237" s="352">
        <f t="shared" si="39"/>
        <v>80.03800000000001</v>
      </c>
      <c r="AT237" s="342">
        <f t="shared" si="39"/>
        <v>0</v>
      </c>
      <c r="AU237" s="342">
        <f t="shared" si="39"/>
        <v>80.03800000000001</v>
      </c>
      <c r="AV237" s="354">
        <f t="shared" si="39"/>
        <v>0</v>
      </c>
      <c r="AW237" s="352">
        <f t="shared" si="39"/>
        <v>11.808</v>
      </c>
      <c r="AX237" s="342">
        <f t="shared" si="39"/>
        <v>0</v>
      </c>
      <c r="AY237" s="342">
        <f t="shared" si="39"/>
        <v>0</v>
      </c>
      <c r="AZ237" s="354">
        <f t="shared" si="39"/>
        <v>0</v>
      </c>
      <c r="BA237" s="352">
        <f t="shared" si="39"/>
        <v>0</v>
      </c>
      <c r="BB237" s="342">
        <f t="shared" si="39"/>
        <v>0</v>
      </c>
      <c r="BC237" s="342">
        <f t="shared" si="39"/>
        <v>0</v>
      </c>
      <c r="BD237" s="352"/>
      <c r="BE237" s="349">
        <f aca="true" t="shared" si="40" ref="BE237:BN237">BE60</f>
        <v>20</v>
      </c>
      <c r="BF237" s="345">
        <f t="shared" si="40"/>
        <v>17</v>
      </c>
      <c r="BG237" s="349">
        <f t="shared" si="40"/>
        <v>62</v>
      </c>
      <c r="BH237" s="345">
        <f t="shared" si="40"/>
        <v>62</v>
      </c>
      <c r="BI237" s="349">
        <f t="shared" si="40"/>
        <v>0</v>
      </c>
      <c r="BJ237" s="349">
        <f t="shared" si="40"/>
        <v>0</v>
      </c>
      <c r="BK237" s="349">
        <f t="shared" si="40"/>
        <v>0</v>
      </c>
      <c r="BL237" s="345">
        <f t="shared" si="40"/>
        <v>0</v>
      </c>
      <c r="BM237" s="349">
        <f t="shared" si="40"/>
        <v>21</v>
      </c>
      <c r="BN237" s="345">
        <f t="shared" si="40"/>
        <v>20</v>
      </c>
    </row>
    <row r="238" spans="1:66" ht="12">
      <c r="A238" s="349">
        <v>3</v>
      </c>
      <c r="B238" s="352" t="str">
        <f>B101</f>
        <v>Итого "Ж/серв."</v>
      </c>
      <c r="C238" s="352"/>
      <c r="D238" s="352"/>
      <c r="E238" s="352">
        <f aca="true" t="shared" si="41" ref="E238:BC238">E101</f>
        <v>461.54050000000007</v>
      </c>
      <c r="F238" s="352">
        <f t="shared" si="41"/>
        <v>560.6320000000001</v>
      </c>
      <c r="G238" s="352">
        <f t="shared" si="41"/>
        <v>0</v>
      </c>
      <c r="H238" s="354">
        <f t="shared" si="41"/>
        <v>0.1465</v>
      </c>
      <c r="I238" s="352">
        <f t="shared" si="41"/>
        <v>110.05</v>
      </c>
      <c r="J238" s="342">
        <f t="shared" si="41"/>
        <v>0.34600000000000003</v>
      </c>
      <c r="K238" s="342">
        <f t="shared" si="41"/>
        <v>209.2</v>
      </c>
      <c r="L238" s="354">
        <f t="shared" si="41"/>
        <v>0.8313</v>
      </c>
      <c r="M238" s="352">
        <f t="shared" si="41"/>
        <v>245.1165</v>
      </c>
      <c r="N238" s="343">
        <f t="shared" si="41"/>
        <v>0.9064000000000002</v>
      </c>
      <c r="O238" s="342">
        <f t="shared" si="41"/>
        <v>326.30400000000003</v>
      </c>
      <c r="P238" s="354">
        <f t="shared" si="41"/>
        <v>0</v>
      </c>
      <c r="Q238" s="354">
        <f t="shared" si="41"/>
        <v>0</v>
      </c>
      <c r="R238" s="342">
        <f t="shared" si="41"/>
        <v>0</v>
      </c>
      <c r="S238" s="342">
        <f t="shared" si="41"/>
        <v>0</v>
      </c>
      <c r="T238" s="349">
        <f t="shared" si="41"/>
        <v>0</v>
      </c>
      <c r="U238" s="353">
        <f t="shared" si="41"/>
        <v>0.024</v>
      </c>
      <c r="V238" s="352">
        <f t="shared" si="41"/>
        <v>25.128</v>
      </c>
      <c r="W238" s="342">
        <f t="shared" si="41"/>
        <v>0.024</v>
      </c>
      <c r="X238" s="342">
        <f t="shared" si="41"/>
        <v>25.128</v>
      </c>
      <c r="Y238" s="349">
        <f t="shared" si="41"/>
        <v>0</v>
      </c>
      <c r="Z238" s="352">
        <f t="shared" si="41"/>
        <v>0</v>
      </c>
      <c r="AA238" s="349">
        <f t="shared" si="41"/>
        <v>330</v>
      </c>
      <c r="AB238" s="345">
        <f t="shared" si="41"/>
        <v>268</v>
      </c>
      <c r="AC238" s="349">
        <f t="shared" si="41"/>
        <v>0</v>
      </c>
      <c r="AD238" s="352">
        <f t="shared" si="41"/>
        <v>0</v>
      </c>
      <c r="AE238" s="345">
        <f t="shared" si="41"/>
        <v>0</v>
      </c>
      <c r="AF238" s="342">
        <f t="shared" si="41"/>
        <v>0</v>
      </c>
      <c r="AG238" s="349">
        <f t="shared" si="41"/>
        <v>225.70000000000002</v>
      </c>
      <c r="AH238" s="345">
        <f t="shared" si="41"/>
        <v>223.70000000000002</v>
      </c>
      <c r="AI238" s="349">
        <f t="shared" si="41"/>
        <v>0</v>
      </c>
      <c r="AJ238" s="352">
        <f t="shared" si="41"/>
        <v>0</v>
      </c>
      <c r="AK238" s="345">
        <f t="shared" si="41"/>
        <v>0</v>
      </c>
      <c r="AL238" s="342">
        <f t="shared" si="41"/>
        <v>0</v>
      </c>
      <c r="AM238" s="352">
        <f t="shared" si="41"/>
        <v>0</v>
      </c>
      <c r="AN238" s="354">
        <f t="shared" si="41"/>
        <v>0</v>
      </c>
      <c r="AO238" s="352">
        <f t="shared" si="41"/>
        <v>0</v>
      </c>
      <c r="AP238" s="342">
        <f t="shared" si="41"/>
        <v>0</v>
      </c>
      <c r="AQ238" s="342">
        <f t="shared" si="41"/>
        <v>0</v>
      </c>
      <c r="AR238" s="354">
        <f t="shared" si="41"/>
        <v>0.1</v>
      </c>
      <c r="AS238" s="352">
        <f t="shared" si="41"/>
        <v>0</v>
      </c>
      <c r="AT238" s="342">
        <f t="shared" si="41"/>
        <v>0</v>
      </c>
      <c r="AU238" s="342">
        <f t="shared" si="41"/>
        <v>0</v>
      </c>
      <c r="AV238" s="354">
        <f t="shared" si="41"/>
        <v>0</v>
      </c>
      <c r="AW238" s="352">
        <f t="shared" si="41"/>
        <v>0</v>
      </c>
      <c r="AX238" s="342">
        <f t="shared" si="41"/>
        <v>0</v>
      </c>
      <c r="AY238" s="342">
        <f t="shared" si="41"/>
        <v>0</v>
      </c>
      <c r="AZ238" s="354">
        <f t="shared" si="41"/>
        <v>0</v>
      </c>
      <c r="BA238" s="352">
        <f t="shared" si="41"/>
        <v>0</v>
      </c>
      <c r="BB238" s="342">
        <f t="shared" si="41"/>
        <v>0</v>
      </c>
      <c r="BC238" s="342">
        <f t="shared" si="41"/>
        <v>0</v>
      </c>
      <c r="BD238" s="352"/>
      <c r="BE238" s="349">
        <f aca="true" t="shared" si="42" ref="BE238:BN238">BE101</f>
        <v>9</v>
      </c>
      <c r="BF238" s="345">
        <f t="shared" si="42"/>
        <v>9</v>
      </c>
      <c r="BG238" s="349">
        <f t="shared" si="42"/>
        <v>145</v>
      </c>
      <c r="BH238" s="345">
        <f t="shared" si="42"/>
        <v>145</v>
      </c>
      <c r="BI238" s="349">
        <f t="shared" si="42"/>
        <v>0</v>
      </c>
      <c r="BJ238" s="349">
        <f t="shared" si="42"/>
        <v>0</v>
      </c>
      <c r="BK238" s="349">
        <f t="shared" si="42"/>
        <v>0</v>
      </c>
      <c r="BL238" s="345">
        <f t="shared" si="42"/>
        <v>0</v>
      </c>
      <c r="BM238" s="349">
        <f t="shared" si="42"/>
        <v>40</v>
      </c>
      <c r="BN238" s="345">
        <f t="shared" si="42"/>
        <v>40</v>
      </c>
    </row>
    <row r="239" spans="1:66" ht="12">
      <c r="A239" s="349">
        <v>4</v>
      </c>
      <c r="B239" s="352" t="str">
        <f>B128</f>
        <v>Итого "Соглас."</v>
      </c>
      <c r="C239" s="352"/>
      <c r="D239" s="352"/>
      <c r="E239" s="352">
        <f aca="true" t="shared" si="43" ref="E239:BC239">E128</f>
        <v>1471.4623000000004</v>
      </c>
      <c r="F239" s="352">
        <f t="shared" si="43"/>
        <v>1372.5973416666668</v>
      </c>
      <c r="G239" s="352">
        <f t="shared" si="43"/>
        <v>0</v>
      </c>
      <c r="H239" s="354">
        <f t="shared" si="43"/>
        <v>0.42900000000000005</v>
      </c>
      <c r="I239" s="352">
        <f t="shared" si="43"/>
        <v>216.36599999999999</v>
      </c>
      <c r="J239" s="342">
        <f t="shared" si="43"/>
        <v>0.2183</v>
      </c>
      <c r="K239" s="342">
        <f t="shared" si="43"/>
        <v>92.50380000000001</v>
      </c>
      <c r="L239" s="354">
        <f t="shared" si="43"/>
        <v>1.516</v>
      </c>
      <c r="M239" s="352">
        <f t="shared" si="43"/>
        <v>545.76</v>
      </c>
      <c r="N239" s="343">
        <f t="shared" si="43"/>
        <v>2.4131999999999993</v>
      </c>
      <c r="O239" s="342">
        <f t="shared" si="43"/>
        <v>868.7520000000001</v>
      </c>
      <c r="P239" s="354">
        <f t="shared" si="43"/>
        <v>0</v>
      </c>
      <c r="Q239" s="354">
        <f t="shared" si="43"/>
        <v>0</v>
      </c>
      <c r="R239" s="342">
        <f t="shared" si="43"/>
        <v>0</v>
      </c>
      <c r="S239" s="342">
        <f t="shared" si="43"/>
        <v>0</v>
      </c>
      <c r="T239" s="349">
        <f t="shared" si="43"/>
        <v>0</v>
      </c>
      <c r="U239" s="353">
        <f t="shared" si="43"/>
        <v>0.04950000000000001</v>
      </c>
      <c r="V239" s="352">
        <f t="shared" si="43"/>
        <v>37.15449999999999</v>
      </c>
      <c r="W239" s="342">
        <f t="shared" si="43"/>
        <v>0.0378</v>
      </c>
      <c r="X239" s="342">
        <f t="shared" si="43"/>
        <v>17.8403</v>
      </c>
      <c r="Y239" s="349">
        <f t="shared" si="43"/>
        <v>0</v>
      </c>
      <c r="Z239" s="352">
        <f t="shared" si="43"/>
        <v>0</v>
      </c>
      <c r="AA239" s="349">
        <f t="shared" si="43"/>
        <v>0</v>
      </c>
      <c r="AB239" s="345">
        <f t="shared" si="43"/>
        <v>0</v>
      </c>
      <c r="AC239" s="349">
        <f t="shared" si="43"/>
        <v>4</v>
      </c>
      <c r="AD239" s="352">
        <f t="shared" si="43"/>
        <v>16.8</v>
      </c>
      <c r="AE239" s="345">
        <f t="shared" si="43"/>
        <v>4</v>
      </c>
      <c r="AF239" s="342">
        <f t="shared" si="43"/>
        <v>16.8</v>
      </c>
      <c r="AG239" s="349">
        <f t="shared" si="43"/>
        <v>0</v>
      </c>
      <c r="AH239" s="345">
        <f t="shared" si="43"/>
        <v>0</v>
      </c>
      <c r="AI239" s="349">
        <f t="shared" si="43"/>
        <v>2651</v>
      </c>
      <c r="AJ239" s="352">
        <f t="shared" si="43"/>
        <v>150.57680000000002</v>
      </c>
      <c r="AK239" s="345">
        <f t="shared" si="43"/>
        <v>0</v>
      </c>
      <c r="AL239" s="342">
        <f t="shared" si="43"/>
        <v>0</v>
      </c>
      <c r="AM239" s="352">
        <f t="shared" si="43"/>
        <v>0</v>
      </c>
      <c r="AN239" s="354">
        <f t="shared" si="43"/>
        <v>0</v>
      </c>
      <c r="AO239" s="352">
        <f t="shared" si="43"/>
        <v>50.873000000000005</v>
      </c>
      <c r="AP239" s="342">
        <f t="shared" si="43"/>
        <v>0</v>
      </c>
      <c r="AQ239" s="342">
        <f t="shared" si="43"/>
        <v>50.873000000000005</v>
      </c>
      <c r="AR239" s="354">
        <f t="shared" si="43"/>
        <v>0.12</v>
      </c>
      <c r="AS239" s="352">
        <f t="shared" si="43"/>
        <v>285.397</v>
      </c>
      <c r="AT239" s="342">
        <f t="shared" si="43"/>
        <v>0.137</v>
      </c>
      <c r="AU239" s="342">
        <f t="shared" si="43"/>
        <v>325.8282416666667</v>
      </c>
      <c r="AV239" s="354">
        <f t="shared" si="43"/>
        <v>0</v>
      </c>
      <c r="AW239" s="352">
        <f t="shared" si="43"/>
        <v>0</v>
      </c>
      <c r="AX239" s="342">
        <f t="shared" si="43"/>
        <v>0</v>
      </c>
      <c r="AY239" s="342">
        <f t="shared" si="43"/>
        <v>0</v>
      </c>
      <c r="AZ239" s="354">
        <f t="shared" si="43"/>
        <v>0.25</v>
      </c>
      <c r="BA239" s="352">
        <f t="shared" si="43"/>
        <v>168.535</v>
      </c>
      <c r="BB239" s="342">
        <f t="shared" si="43"/>
        <v>0</v>
      </c>
      <c r="BC239" s="342">
        <f t="shared" si="43"/>
        <v>0</v>
      </c>
      <c r="BD239" s="352"/>
      <c r="BE239" s="349">
        <f aca="true" t="shared" si="44" ref="BE239:BN239">BE128</f>
        <v>2</v>
      </c>
      <c r="BF239" s="345">
        <f t="shared" si="44"/>
        <v>2</v>
      </c>
      <c r="BG239" s="349">
        <f t="shared" si="44"/>
        <v>99</v>
      </c>
      <c r="BH239" s="345">
        <f t="shared" si="44"/>
        <v>99</v>
      </c>
      <c r="BI239" s="349">
        <f t="shared" si="44"/>
        <v>0</v>
      </c>
      <c r="BJ239" s="349">
        <f t="shared" si="44"/>
        <v>0</v>
      </c>
      <c r="BK239" s="349">
        <f t="shared" si="44"/>
        <v>0</v>
      </c>
      <c r="BL239" s="345">
        <f t="shared" si="44"/>
        <v>1</v>
      </c>
      <c r="BM239" s="349">
        <f t="shared" si="44"/>
        <v>22</v>
      </c>
      <c r="BN239" s="345">
        <f t="shared" si="44"/>
        <v>9</v>
      </c>
    </row>
    <row r="240" spans="1:66" ht="12">
      <c r="A240" s="349">
        <v>5</v>
      </c>
      <c r="B240" s="352" t="str">
        <f>B198</f>
        <v>Итого "Универ."</v>
      </c>
      <c r="C240" s="352"/>
      <c r="D240" s="352"/>
      <c r="E240" s="352">
        <f aca="true" t="shared" si="45" ref="E240:BC240">E198</f>
        <v>1454.1530000000002</v>
      </c>
      <c r="F240" s="352">
        <f t="shared" si="45"/>
        <v>1321.5265</v>
      </c>
      <c r="G240" s="352">
        <f t="shared" si="45"/>
        <v>0</v>
      </c>
      <c r="H240" s="354">
        <f t="shared" si="45"/>
        <v>1.5900000000000003</v>
      </c>
      <c r="I240" s="352">
        <f t="shared" si="45"/>
        <v>755.25</v>
      </c>
      <c r="J240" s="342">
        <f t="shared" si="45"/>
        <v>1.1970000000000003</v>
      </c>
      <c r="K240" s="342">
        <f t="shared" si="45"/>
        <v>568.575</v>
      </c>
      <c r="L240" s="354">
        <f t="shared" si="45"/>
        <v>1.0595</v>
      </c>
      <c r="M240" s="352">
        <f t="shared" si="45"/>
        <v>381.41999999999996</v>
      </c>
      <c r="N240" s="343">
        <f t="shared" si="45"/>
        <v>0.8924000000000001</v>
      </c>
      <c r="O240" s="342">
        <f t="shared" si="45"/>
        <v>321.264</v>
      </c>
      <c r="P240" s="354">
        <f t="shared" si="45"/>
        <v>0.138</v>
      </c>
      <c r="Q240" s="354">
        <f t="shared" si="45"/>
        <v>48.300000000000004</v>
      </c>
      <c r="R240" s="342">
        <f t="shared" si="45"/>
        <v>0.128</v>
      </c>
      <c r="S240" s="342">
        <f t="shared" si="45"/>
        <v>44.800000000000004</v>
      </c>
      <c r="T240" s="349">
        <f t="shared" si="45"/>
        <v>0</v>
      </c>
      <c r="U240" s="353">
        <f t="shared" si="45"/>
        <v>0</v>
      </c>
      <c r="V240" s="352">
        <f t="shared" si="45"/>
        <v>0</v>
      </c>
      <c r="W240" s="342">
        <f t="shared" si="45"/>
        <v>0</v>
      </c>
      <c r="X240" s="342">
        <f t="shared" si="45"/>
        <v>0</v>
      </c>
      <c r="Y240" s="349">
        <f t="shared" si="45"/>
        <v>0</v>
      </c>
      <c r="Z240" s="352">
        <f t="shared" si="45"/>
        <v>0</v>
      </c>
      <c r="AA240" s="349">
        <f t="shared" si="45"/>
        <v>34</v>
      </c>
      <c r="AB240" s="345">
        <f t="shared" si="45"/>
        <v>12</v>
      </c>
      <c r="AC240" s="349">
        <f t="shared" si="45"/>
        <v>0</v>
      </c>
      <c r="AD240" s="352">
        <f t="shared" si="45"/>
        <v>0</v>
      </c>
      <c r="AE240" s="345">
        <f t="shared" si="45"/>
        <v>0</v>
      </c>
      <c r="AF240" s="342">
        <f t="shared" si="45"/>
        <v>0</v>
      </c>
      <c r="AG240" s="349">
        <f t="shared" si="45"/>
        <v>625</v>
      </c>
      <c r="AH240" s="345">
        <f t="shared" si="45"/>
        <v>505</v>
      </c>
      <c r="AI240" s="349">
        <f t="shared" si="45"/>
        <v>0</v>
      </c>
      <c r="AJ240" s="352">
        <f t="shared" si="45"/>
        <v>0</v>
      </c>
      <c r="AK240" s="345">
        <f t="shared" si="45"/>
        <v>0</v>
      </c>
      <c r="AL240" s="342">
        <f t="shared" si="45"/>
        <v>0</v>
      </c>
      <c r="AM240" s="352">
        <f t="shared" si="45"/>
        <v>0</v>
      </c>
      <c r="AN240" s="354">
        <f t="shared" si="45"/>
        <v>0</v>
      </c>
      <c r="AO240" s="352">
        <f t="shared" si="45"/>
        <v>252.946</v>
      </c>
      <c r="AP240" s="342">
        <f t="shared" si="45"/>
        <v>0</v>
      </c>
      <c r="AQ240" s="342">
        <f t="shared" si="45"/>
        <v>321.4685</v>
      </c>
      <c r="AR240" s="354">
        <f t="shared" si="45"/>
        <v>0.016</v>
      </c>
      <c r="AS240" s="352">
        <f t="shared" si="45"/>
        <v>16.237</v>
      </c>
      <c r="AT240" s="342">
        <f t="shared" si="45"/>
        <v>0.222</v>
      </c>
      <c r="AU240" s="342">
        <f t="shared" si="45"/>
        <v>59.069</v>
      </c>
      <c r="AV240" s="354">
        <f t="shared" si="45"/>
        <v>0</v>
      </c>
      <c r="AW240" s="352">
        <f t="shared" si="45"/>
        <v>0</v>
      </c>
      <c r="AX240" s="342">
        <f t="shared" si="45"/>
        <v>0</v>
      </c>
      <c r="AY240" s="342">
        <f t="shared" si="45"/>
        <v>0</v>
      </c>
      <c r="AZ240" s="354">
        <f t="shared" si="45"/>
        <v>0</v>
      </c>
      <c r="BA240" s="352">
        <f t="shared" si="45"/>
        <v>0</v>
      </c>
      <c r="BB240" s="342">
        <f t="shared" si="45"/>
        <v>0.008</v>
      </c>
      <c r="BC240" s="342">
        <f t="shared" si="45"/>
        <v>6.35</v>
      </c>
      <c r="BD240" s="352"/>
      <c r="BE240" s="349">
        <f aca="true" t="shared" si="46" ref="BE240:BN240">BE198</f>
        <v>29</v>
      </c>
      <c r="BF240" s="345">
        <f t="shared" si="46"/>
        <v>30</v>
      </c>
      <c r="BG240" s="349">
        <f t="shared" si="46"/>
        <v>174</v>
      </c>
      <c r="BH240" s="345">
        <f t="shared" si="46"/>
        <v>174</v>
      </c>
      <c r="BI240" s="349">
        <f t="shared" si="46"/>
        <v>0</v>
      </c>
      <c r="BJ240" s="349">
        <f t="shared" si="46"/>
        <v>0</v>
      </c>
      <c r="BK240" s="349">
        <f t="shared" si="46"/>
        <v>33</v>
      </c>
      <c r="BL240" s="345">
        <f t="shared" si="46"/>
        <v>60</v>
      </c>
      <c r="BM240" s="349">
        <f t="shared" si="46"/>
        <v>61</v>
      </c>
      <c r="BN240" s="345">
        <f t="shared" si="46"/>
        <v>46</v>
      </c>
    </row>
    <row r="241" spans="1:66" ht="12">
      <c r="A241" s="349">
        <v>6</v>
      </c>
      <c r="B241" s="352" t="str">
        <f>B212</f>
        <v>Итого"Креатив"</v>
      </c>
      <c r="C241" s="352"/>
      <c r="D241" s="352"/>
      <c r="E241" s="352">
        <f aca="true" t="shared" si="47" ref="E241:BC241">E212</f>
        <v>518.494</v>
      </c>
      <c r="F241" s="352">
        <f t="shared" si="47"/>
        <v>535.2840000000001</v>
      </c>
      <c r="G241" s="352">
        <f t="shared" si="47"/>
        <v>0</v>
      </c>
      <c r="H241" s="354">
        <f t="shared" si="47"/>
        <v>0.028999999999999998</v>
      </c>
      <c r="I241" s="352">
        <f t="shared" si="47"/>
        <v>9.453999999999999</v>
      </c>
      <c r="J241" s="342">
        <f t="shared" si="47"/>
        <v>0</v>
      </c>
      <c r="K241" s="342">
        <f t="shared" si="47"/>
        <v>0</v>
      </c>
      <c r="L241" s="354">
        <f t="shared" si="47"/>
        <v>1.4140000000000001</v>
      </c>
      <c r="M241" s="352">
        <f t="shared" si="47"/>
        <v>509.03999999999996</v>
      </c>
      <c r="N241" s="343">
        <f t="shared" si="47"/>
        <v>1.4868999999999999</v>
      </c>
      <c r="O241" s="342">
        <f t="shared" si="47"/>
        <v>535.2840000000001</v>
      </c>
      <c r="P241" s="354">
        <f t="shared" si="47"/>
        <v>0</v>
      </c>
      <c r="Q241" s="354">
        <f t="shared" si="47"/>
        <v>0</v>
      </c>
      <c r="R241" s="342">
        <f t="shared" si="47"/>
        <v>0</v>
      </c>
      <c r="S241" s="342">
        <f t="shared" si="47"/>
        <v>0</v>
      </c>
      <c r="T241" s="349">
        <f t="shared" si="47"/>
        <v>0</v>
      </c>
      <c r="U241" s="353">
        <f t="shared" si="47"/>
        <v>0</v>
      </c>
      <c r="V241" s="352">
        <f t="shared" si="47"/>
        <v>0</v>
      </c>
      <c r="W241" s="342">
        <f t="shared" si="47"/>
        <v>0</v>
      </c>
      <c r="X241" s="342">
        <f t="shared" si="47"/>
        <v>0</v>
      </c>
      <c r="Y241" s="349">
        <f t="shared" si="47"/>
        <v>0</v>
      </c>
      <c r="Z241" s="352">
        <f t="shared" si="47"/>
        <v>0</v>
      </c>
      <c r="AA241" s="349">
        <f t="shared" si="47"/>
        <v>0</v>
      </c>
      <c r="AB241" s="345">
        <f t="shared" si="47"/>
        <v>0</v>
      </c>
      <c r="AC241" s="349">
        <f t="shared" si="47"/>
        <v>0</v>
      </c>
      <c r="AD241" s="352">
        <f t="shared" si="47"/>
        <v>0</v>
      </c>
      <c r="AE241" s="345">
        <f t="shared" si="47"/>
        <v>0</v>
      </c>
      <c r="AF241" s="342">
        <f t="shared" si="47"/>
        <v>0</v>
      </c>
      <c r="AG241" s="349">
        <f t="shared" si="47"/>
        <v>20</v>
      </c>
      <c r="AH241" s="345">
        <f t="shared" si="47"/>
        <v>0</v>
      </c>
      <c r="AI241" s="349">
        <f t="shared" si="47"/>
        <v>0</v>
      </c>
      <c r="AJ241" s="352">
        <f t="shared" si="47"/>
        <v>0</v>
      </c>
      <c r="AK241" s="345">
        <f t="shared" si="47"/>
        <v>0</v>
      </c>
      <c r="AL241" s="342">
        <f t="shared" si="47"/>
        <v>0</v>
      </c>
      <c r="AM241" s="352">
        <f t="shared" si="47"/>
        <v>0</v>
      </c>
      <c r="AN241" s="354">
        <f t="shared" si="47"/>
        <v>0</v>
      </c>
      <c r="AO241" s="352">
        <f t="shared" si="47"/>
        <v>0</v>
      </c>
      <c r="AP241" s="342">
        <f t="shared" si="47"/>
        <v>0</v>
      </c>
      <c r="AQ241" s="342">
        <f t="shared" si="47"/>
        <v>0</v>
      </c>
      <c r="AR241" s="354">
        <f t="shared" si="47"/>
        <v>0</v>
      </c>
      <c r="AS241" s="352">
        <f t="shared" si="47"/>
        <v>0</v>
      </c>
      <c r="AT241" s="342">
        <f t="shared" si="47"/>
        <v>0</v>
      </c>
      <c r="AU241" s="342">
        <f t="shared" si="47"/>
        <v>0</v>
      </c>
      <c r="AV241" s="354">
        <f t="shared" si="47"/>
        <v>0</v>
      </c>
      <c r="AW241" s="352">
        <f t="shared" si="47"/>
        <v>0</v>
      </c>
      <c r="AX241" s="342">
        <f t="shared" si="47"/>
        <v>0</v>
      </c>
      <c r="AY241" s="342">
        <f t="shared" si="47"/>
        <v>0</v>
      </c>
      <c r="AZ241" s="354">
        <f t="shared" si="47"/>
        <v>0</v>
      </c>
      <c r="BA241" s="352">
        <f t="shared" si="47"/>
        <v>0</v>
      </c>
      <c r="BB241" s="342">
        <f t="shared" si="47"/>
        <v>0</v>
      </c>
      <c r="BC241" s="342">
        <f t="shared" si="47"/>
        <v>0</v>
      </c>
      <c r="BD241" s="352"/>
      <c r="BE241" s="349">
        <f aca="true" t="shared" si="48" ref="BE241:BN241">BE212</f>
        <v>3</v>
      </c>
      <c r="BF241" s="345">
        <f t="shared" si="48"/>
        <v>2</v>
      </c>
      <c r="BG241" s="349">
        <f t="shared" si="48"/>
        <v>45</v>
      </c>
      <c r="BH241" s="345">
        <f t="shared" si="48"/>
        <v>45</v>
      </c>
      <c r="BI241" s="349">
        <f t="shared" si="48"/>
        <v>0</v>
      </c>
      <c r="BJ241" s="349">
        <f t="shared" si="48"/>
        <v>0</v>
      </c>
      <c r="BK241" s="349">
        <f t="shared" si="48"/>
        <v>0</v>
      </c>
      <c r="BL241" s="345">
        <f t="shared" si="48"/>
        <v>13</v>
      </c>
      <c r="BM241" s="349">
        <f t="shared" si="48"/>
        <v>13</v>
      </c>
      <c r="BN241" s="345">
        <f t="shared" si="48"/>
        <v>4</v>
      </c>
    </row>
    <row r="242" spans="1:66" ht="12">
      <c r="A242" s="349">
        <v>7</v>
      </c>
      <c r="B242" s="378" t="str">
        <f>B227</f>
        <v>Итого "Уют-С"</v>
      </c>
      <c r="C242" s="378"/>
      <c r="D242" s="352"/>
      <c r="E242" s="352">
        <f>E227</f>
        <v>566.316</v>
      </c>
      <c r="F242" s="352">
        <f>F227</f>
        <v>259.3493043478261</v>
      </c>
      <c r="G242" s="352">
        <f>G227</f>
        <v>0</v>
      </c>
      <c r="H242" s="354">
        <f>H227</f>
        <v>0.43</v>
      </c>
      <c r="I242" s="352">
        <f>I227</f>
        <v>253</v>
      </c>
      <c r="J242" s="342">
        <f>J227</f>
        <v>0.22</v>
      </c>
      <c r="K242" s="342">
        <f>K227</f>
        <v>211.75</v>
      </c>
      <c r="L242" s="354">
        <f>L227</f>
        <v>0</v>
      </c>
      <c r="M242" s="352">
        <f>M227</f>
        <v>0</v>
      </c>
      <c r="N242" s="343">
        <f>N227</f>
        <v>0.0082</v>
      </c>
      <c r="O242" s="342">
        <f>O227</f>
        <v>2.9520000000000004</v>
      </c>
      <c r="P242" s="354">
        <f>P227</f>
        <v>0</v>
      </c>
      <c r="Q242" s="354">
        <f>Q227</f>
        <v>0</v>
      </c>
      <c r="R242" s="342">
        <f>R227</f>
        <v>0</v>
      </c>
      <c r="S242" s="342">
        <f>S227</f>
        <v>0</v>
      </c>
      <c r="T242" s="349">
        <f>T227</f>
        <v>0</v>
      </c>
      <c r="U242" s="353">
        <f>U227</f>
        <v>0</v>
      </c>
      <c r="V242" s="352">
        <f>V227</f>
        <v>0</v>
      </c>
      <c r="W242" s="342">
        <f>W227</f>
        <v>0</v>
      </c>
      <c r="X242" s="342">
        <f>X227</f>
        <v>0</v>
      </c>
      <c r="Y242" s="349">
        <f>Y227</f>
        <v>0</v>
      </c>
      <c r="Z242" s="352">
        <f>Z227</f>
        <v>0</v>
      </c>
      <c r="AA242" s="349">
        <f>AA227</f>
        <v>0</v>
      </c>
      <c r="AB242" s="345">
        <f>AB227</f>
        <v>0</v>
      </c>
      <c r="AC242" s="349">
        <f>AC227</f>
        <v>2</v>
      </c>
      <c r="AD242" s="352">
        <f>AD227</f>
        <v>8.4</v>
      </c>
      <c r="AE242" s="345">
        <f>AE227</f>
        <v>0</v>
      </c>
      <c r="AF242" s="342">
        <f>AF227</f>
        <v>0</v>
      </c>
      <c r="AG242" s="349">
        <f>AG227</f>
        <v>66</v>
      </c>
      <c r="AH242" s="345">
        <f>AH227</f>
        <v>1</v>
      </c>
      <c r="AI242" s="349">
        <f>AI227</f>
        <v>182</v>
      </c>
      <c r="AJ242" s="352">
        <f>AJ227</f>
        <v>271</v>
      </c>
      <c r="AK242" s="345">
        <f>AK227</f>
        <v>1</v>
      </c>
      <c r="AL242" s="342">
        <f>AL227</f>
        <v>1.391304347826087</v>
      </c>
      <c r="AM242" s="352">
        <f>AM227</f>
        <v>0</v>
      </c>
      <c r="AN242" s="354">
        <f>AN227</f>
        <v>0</v>
      </c>
      <c r="AO242" s="352">
        <f>AO227</f>
        <v>27.503999999999998</v>
      </c>
      <c r="AP242" s="342">
        <f>AP227</f>
        <v>0</v>
      </c>
      <c r="AQ242" s="342">
        <f>AQ227</f>
        <v>43.256</v>
      </c>
      <c r="AR242" s="354">
        <f>AR227</f>
        <v>0</v>
      </c>
      <c r="AS242" s="352">
        <f>AS227</f>
        <v>0</v>
      </c>
      <c r="AT242" s="342">
        <f>AT227</f>
        <v>0</v>
      </c>
      <c r="AU242" s="342">
        <f>AU227</f>
        <v>0</v>
      </c>
      <c r="AV242" s="354">
        <f>AV227</f>
        <v>0</v>
      </c>
      <c r="AW242" s="352">
        <f>AW227</f>
        <v>0</v>
      </c>
      <c r="AX242" s="342">
        <f>AX227</f>
        <v>0</v>
      </c>
      <c r="AY242" s="342">
        <f>AY227</f>
        <v>0</v>
      </c>
      <c r="AZ242" s="354">
        <f>AZ227</f>
        <v>0.014</v>
      </c>
      <c r="BA242" s="352">
        <f>BA227</f>
        <v>6.412000000000001</v>
      </c>
      <c r="BB242" s="342">
        <f>BB227</f>
        <v>0</v>
      </c>
      <c r="BC242" s="342">
        <f>BC227</f>
        <v>0</v>
      </c>
      <c r="BD242" s="352"/>
      <c r="BE242" s="349">
        <f>BE227</f>
        <v>12</v>
      </c>
      <c r="BF242" s="345">
        <f>BF227</f>
        <v>12</v>
      </c>
      <c r="BG242" s="349">
        <f>BG227</f>
        <v>47</v>
      </c>
      <c r="BH242" s="345">
        <f>BH227</f>
        <v>47</v>
      </c>
      <c r="BI242" s="349">
        <f>BI227</f>
        <v>0</v>
      </c>
      <c r="BJ242" s="349">
        <f>BJ227</f>
        <v>0</v>
      </c>
      <c r="BK242" s="349">
        <f>BK227</f>
        <v>0</v>
      </c>
      <c r="BL242" s="345">
        <f>BL227</f>
        <v>14</v>
      </c>
      <c r="BM242" s="349">
        <f>BM227</f>
        <v>14</v>
      </c>
      <c r="BN242" s="345">
        <f>BN227</f>
        <v>8</v>
      </c>
    </row>
    <row r="243" spans="1:66" ht="12">
      <c r="A243" s="349">
        <v>8</v>
      </c>
      <c r="B243" s="379" t="str">
        <f>B232</f>
        <v>Мельникайте</v>
      </c>
      <c r="C243" s="349">
        <f>C232</f>
        <v>66</v>
      </c>
      <c r="D243" s="352"/>
      <c r="E243" s="352">
        <f aca="true" t="shared" si="49" ref="E243:BC243">E232</f>
        <v>0</v>
      </c>
      <c r="F243" s="352">
        <f t="shared" si="49"/>
        <v>0</v>
      </c>
      <c r="G243" s="352">
        <f t="shared" si="49"/>
        <v>0</v>
      </c>
      <c r="H243" s="354">
        <f t="shared" si="49"/>
        <v>0</v>
      </c>
      <c r="I243" s="352">
        <f t="shared" si="49"/>
        <v>0</v>
      </c>
      <c r="J243" s="342">
        <f t="shared" si="49"/>
        <v>0</v>
      </c>
      <c r="K243" s="342">
        <f t="shared" si="49"/>
        <v>0</v>
      </c>
      <c r="L243" s="354">
        <f t="shared" si="49"/>
        <v>0</v>
      </c>
      <c r="M243" s="352">
        <f t="shared" si="49"/>
        <v>0</v>
      </c>
      <c r="N243" s="343">
        <f t="shared" si="49"/>
        <v>0</v>
      </c>
      <c r="O243" s="342">
        <f t="shared" si="49"/>
        <v>0</v>
      </c>
      <c r="P243" s="354">
        <f t="shared" si="49"/>
        <v>0</v>
      </c>
      <c r="Q243" s="354">
        <f t="shared" si="49"/>
        <v>0</v>
      </c>
      <c r="R243" s="342">
        <f t="shared" si="49"/>
        <v>0</v>
      </c>
      <c r="S243" s="342">
        <f t="shared" si="49"/>
        <v>0</v>
      </c>
      <c r="T243" s="349">
        <f t="shared" si="49"/>
        <v>0</v>
      </c>
      <c r="U243" s="353">
        <f t="shared" si="49"/>
        <v>0</v>
      </c>
      <c r="V243" s="352">
        <f t="shared" si="49"/>
        <v>0</v>
      </c>
      <c r="W243" s="342">
        <f t="shared" si="49"/>
        <v>0</v>
      </c>
      <c r="X243" s="342">
        <f t="shared" si="49"/>
        <v>0</v>
      </c>
      <c r="Y243" s="349">
        <f t="shared" si="49"/>
        <v>0</v>
      </c>
      <c r="Z243" s="352">
        <f t="shared" si="49"/>
        <v>0</v>
      </c>
      <c r="AA243" s="349">
        <f t="shared" si="49"/>
        <v>0</v>
      </c>
      <c r="AB243" s="345">
        <f t="shared" si="49"/>
        <v>0</v>
      </c>
      <c r="AC243" s="349">
        <f t="shared" si="49"/>
        <v>0</v>
      </c>
      <c r="AD243" s="352">
        <f t="shared" si="49"/>
        <v>0</v>
      </c>
      <c r="AE243" s="345">
        <f t="shared" si="49"/>
        <v>0</v>
      </c>
      <c r="AF243" s="342">
        <f t="shared" si="49"/>
        <v>0</v>
      </c>
      <c r="AG243" s="349">
        <f t="shared" si="49"/>
        <v>0</v>
      </c>
      <c r="AH243" s="345">
        <f t="shared" si="49"/>
        <v>0</v>
      </c>
      <c r="AI243" s="349">
        <f t="shared" si="49"/>
        <v>0</v>
      </c>
      <c r="AJ243" s="352">
        <f t="shared" si="49"/>
        <v>0</v>
      </c>
      <c r="AK243" s="345">
        <f t="shared" si="49"/>
        <v>0</v>
      </c>
      <c r="AL243" s="342">
        <f t="shared" si="49"/>
        <v>0</v>
      </c>
      <c r="AM243" s="352">
        <f t="shared" si="49"/>
        <v>0</v>
      </c>
      <c r="AN243" s="354">
        <f t="shared" si="49"/>
        <v>0</v>
      </c>
      <c r="AO243" s="352">
        <f t="shared" si="49"/>
        <v>0</v>
      </c>
      <c r="AP243" s="342">
        <f t="shared" si="49"/>
        <v>0</v>
      </c>
      <c r="AQ243" s="342">
        <f t="shared" si="49"/>
        <v>0</v>
      </c>
      <c r="AR243" s="354">
        <f t="shared" si="49"/>
        <v>0</v>
      </c>
      <c r="AS243" s="352">
        <f t="shared" si="49"/>
        <v>0</v>
      </c>
      <c r="AT243" s="342">
        <f t="shared" si="49"/>
        <v>0</v>
      </c>
      <c r="AU243" s="342">
        <f t="shared" si="49"/>
        <v>0</v>
      </c>
      <c r="AV243" s="354">
        <f t="shared" si="49"/>
        <v>0</v>
      </c>
      <c r="AW243" s="352">
        <f t="shared" si="49"/>
        <v>0</v>
      </c>
      <c r="AX243" s="342">
        <f t="shared" si="49"/>
        <v>0</v>
      </c>
      <c r="AY243" s="342">
        <f t="shared" si="49"/>
        <v>0</v>
      </c>
      <c r="AZ243" s="354">
        <f t="shared" si="49"/>
        <v>0</v>
      </c>
      <c r="BA243" s="352">
        <f t="shared" si="49"/>
        <v>0</v>
      </c>
      <c r="BB243" s="342">
        <f t="shared" si="49"/>
        <v>0</v>
      </c>
      <c r="BC243" s="342">
        <f t="shared" si="49"/>
        <v>0</v>
      </c>
      <c r="BD243" s="352"/>
      <c r="BE243" s="349">
        <f aca="true" t="shared" si="50" ref="BE243:BN243">BE232</f>
        <v>1</v>
      </c>
      <c r="BF243" s="345">
        <f t="shared" si="50"/>
        <v>1</v>
      </c>
      <c r="BG243" s="349">
        <f t="shared" si="50"/>
        <v>1</v>
      </c>
      <c r="BH243" s="345">
        <f t="shared" si="50"/>
        <v>1</v>
      </c>
      <c r="BI243" s="349">
        <f t="shared" si="50"/>
        <v>0</v>
      </c>
      <c r="BJ243" s="349">
        <f t="shared" si="50"/>
        <v>0</v>
      </c>
      <c r="BK243" s="349">
        <f t="shared" si="50"/>
        <v>0</v>
      </c>
      <c r="BL243" s="345">
        <f t="shared" si="50"/>
        <v>0</v>
      </c>
      <c r="BM243" s="349">
        <f t="shared" si="50"/>
        <v>1</v>
      </c>
      <c r="BN243" s="345">
        <f t="shared" si="50"/>
        <v>1</v>
      </c>
    </row>
    <row r="244" spans="1:66" ht="12">
      <c r="A244" s="380"/>
      <c r="B244" s="381"/>
      <c r="C244" s="380"/>
      <c r="D244" s="382"/>
      <c r="E244" s="382"/>
      <c r="F244" s="382"/>
      <c r="G244" s="382"/>
      <c r="H244" s="383"/>
      <c r="I244" s="382"/>
      <c r="J244" s="300"/>
      <c r="K244" s="300"/>
      <c r="L244" s="383"/>
      <c r="M244" s="382"/>
      <c r="N244" s="301"/>
      <c r="O244" s="300"/>
      <c r="P244" s="383"/>
      <c r="Q244" s="383"/>
      <c r="R244" s="300"/>
      <c r="S244" s="300"/>
      <c r="T244" s="380"/>
      <c r="U244" s="384"/>
      <c r="V244" s="382"/>
      <c r="W244" s="300"/>
      <c r="X244" s="300"/>
      <c r="Y244" s="380"/>
      <c r="Z244" s="382"/>
      <c r="AA244" s="380"/>
      <c r="AB244" s="303"/>
      <c r="AC244" s="380"/>
      <c r="AD244" s="382"/>
      <c r="AE244" s="303"/>
      <c r="AF244" s="300"/>
      <c r="AG244" s="380"/>
      <c r="AH244" s="303"/>
      <c r="AI244" s="380"/>
      <c r="AJ244" s="382"/>
      <c r="AK244" s="303"/>
      <c r="AL244" s="300"/>
      <c r="AM244" s="382"/>
      <c r="AN244" s="383"/>
      <c r="AO244" s="382"/>
      <c r="AP244" s="300"/>
      <c r="AQ244" s="300"/>
      <c r="AR244" s="383"/>
      <c r="AS244" s="382"/>
      <c r="AT244" s="300"/>
      <c r="AU244" s="300"/>
      <c r="AV244" s="382"/>
      <c r="AW244" s="382"/>
      <c r="AX244" s="300"/>
      <c r="AY244" s="300"/>
      <c r="AZ244" s="380"/>
      <c r="BA244" s="380"/>
      <c r="BB244" s="300"/>
      <c r="BC244" s="300"/>
      <c r="BD244" s="382"/>
      <c r="BE244" s="380"/>
      <c r="BF244" s="303"/>
      <c r="BG244" s="380"/>
      <c r="BH244" s="303"/>
      <c r="BI244" s="380"/>
      <c r="BJ244" s="380"/>
      <c r="BK244" s="385"/>
      <c r="BL244" s="303"/>
      <c r="BM244" s="380"/>
      <c r="BN244" s="303"/>
    </row>
    <row r="245" spans="2:66" ht="12">
      <c r="B245" s="289" t="s">
        <v>95</v>
      </c>
      <c r="E245" s="295"/>
      <c r="F245" s="295"/>
      <c r="G245" s="295"/>
      <c r="H245" s="383"/>
      <c r="I245" s="300"/>
      <c r="J245" s="295"/>
      <c r="K245" s="295"/>
      <c r="L245" s="383"/>
      <c r="M245" s="300"/>
      <c r="N245" s="386"/>
      <c r="O245" s="295"/>
      <c r="P245" s="383"/>
      <c r="Q245" s="383"/>
      <c r="R245" s="387"/>
      <c r="S245" s="387"/>
      <c r="T245" s="387"/>
      <c r="U245" s="384"/>
      <c r="V245" s="305"/>
      <c r="W245" s="295"/>
      <c r="X245" s="295"/>
      <c r="Y245" s="296"/>
      <c r="Z245" s="289"/>
      <c r="AA245" s="380"/>
      <c r="AB245" s="296"/>
      <c r="AC245" s="380"/>
      <c r="AD245" s="305"/>
      <c r="AE245" s="296"/>
      <c r="AF245" s="295"/>
      <c r="AG245" s="380"/>
      <c r="AH245" s="296"/>
      <c r="AI245" s="383"/>
      <c r="AJ245" s="382"/>
      <c r="AK245" s="296"/>
      <c r="AL245" s="295"/>
      <c r="AM245" s="387"/>
      <c r="AN245" s="382"/>
      <c r="AO245" s="383"/>
      <c r="AP245" s="387"/>
      <c r="AQ245" s="387"/>
      <c r="AR245" s="382"/>
      <c r="AS245" s="383"/>
      <c r="AT245" s="387"/>
      <c r="AU245" s="387"/>
      <c r="AV245" s="295"/>
      <c r="AW245" s="295"/>
      <c r="AX245" s="295"/>
      <c r="AY245" s="295"/>
      <c r="AZ245" s="289"/>
      <c r="BA245" s="289"/>
      <c r="BB245" s="289"/>
      <c r="BC245" s="289"/>
      <c r="BD245" s="387"/>
      <c r="BJ245" s="388"/>
      <c r="BK245" s="385"/>
      <c r="BL245" s="388"/>
      <c r="BM245" s="388"/>
      <c r="BN245" s="389"/>
    </row>
    <row r="246" spans="8:45" ht="12">
      <c r="H246" s="387"/>
      <c r="I246" s="295"/>
      <c r="L246" s="387"/>
      <c r="M246" s="295"/>
      <c r="P246" s="387" t="s">
        <v>96</v>
      </c>
      <c r="Q246" s="387"/>
      <c r="U246" s="386"/>
      <c r="V246" s="295"/>
      <c r="AA246" s="289"/>
      <c r="AC246" s="289"/>
      <c r="AD246" s="295"/>
      <c r="AG246" s="289"/>
      <c r="AI246" s="387"/>
      <c r="AJ246" s="295"/>
      <c r="AN246" s="295"/>
      <c r="AO246" s="387"/>
      <c r="AR246" s="295"/>
      <c r="AS246" s="387"/>
    </row>
  </sheetData>
  <sheetProtection/>
  <mergeCells count="80">
    <mergeCell ref="BN228:BN230"/>
    <mergeCell ref="H229:AM229"/>
    <mergeCell ref="AN229:BI229"/>
    <mergeCell ref="BJ229:BJ230"/>
    <mergeCell ref="E230:E231"/>
    <mergeCell ref="F230:F231"/>
    <mergeCell ref="G230:G231"/>
    <mergeCell ref="A228:A230"/>
    <mergeCell ref="B228:D229"/>
    <mergeCell ref="E228:G229"/>
    <mergeCell ref="H228:BJ228"/>
    <mergeCell ref="BK228:BK230"/>
    <mergeCell ref="BM228:BM230"/>
    <mergeCell ref="BN186:BN188"/>
    <mergeCell ref="H187:AM187"/>
    <mergeCell ref="AN187:BI187"/>
    <mergeCell ref="BJ187:BJ188"/>
    <mergeCell ref="E188:E189"/>
    <mergeCell ref="F188:F189"/>
    <mergeCell ref="G188:G189"/>
    <mergeCell ref="A186:A188"/>
    <mergeCell ref="B186:D187"/>
    <mergeCell ref="E186:G187"/>
    <mergeCell ref="H186:BJ186"/>
    <mergeCell ref="BK186:BK188"/>
    <mergeCell ref="BM186:BM188"/>
    <mergeCell ref="BN147:BN149"/>
    <mergeCell ref="H148:AM148"/>
    <mergeCell ref="AN148:BI148"/>
    <mergeCell ref="BJ148:BJ149"/>
    <mergeCell ref="E149:E150"/>
    <mergeCell ref="F149:F150"/>
    <mergeCell ref="G149:G150"/>
    <mergeCell ref="A147:A149"/>
    <mergeCell ref="B147:D148"/>
    <mergeCell ref="E147:G148"/>
    <mergeCell ref="H147:BJ147"/>
    <mergeCell ref="BK147:BK149"/>
    <mergeCell ref="BM147:BM149"/>
    <mergeCell ref="BK103:BK105"/>
    <mergeCell ref="BM103:BM105"/>
    <mergeCell ref="BN103:BN105"/>
    <mergeCell ref="H104:AM104"/>
    <mergeCell ref="AN104:BI104"/>
    <mergeCell ref="BJ104:BJ105"/>
    <mergeCell ref="F56:F57"/>
    <mergeCell ref="G56:G57"/>
    <mergeCell ref="A103:A105"/>
    <mergeCell ref="B103:D104"/>
    <mergeCell ref="E103:G104"/>
    <mergeCell ref="H103:BJ103"/>
    <mergeCell ref="E105:E106"/>
    <mergeCell ref="F105:F106"/>
    <mergeCell ref="G105:G106"/>
    <mergeCell ref="A54:A56"/>
    <mergeCell ref="B54:D55"/>
    <mergeCell ref="E54:G55"/>
    <mergeCell ref="H54:BJ54"/>
    <mergeCell ref="BK54:BK56"/>
    <mergeCell ref="BM54:BM56"/>
    <mergeCell ref="H55:AM55"/>
    <mergeCell ref="AN55:BI55"/>
    <mergeCell ref="BJ55:BJ56"/>
    <mergeCell ref="E56:E57"/>
    <mergeCell ref="C6:D6"/>
    <mergeCell ref="A8:A10"/>
    <mergeCell ref="B8:D9"/>
    <mergeCell ref="E8:G9"/>
    <mergeCell ref="H8:BJ8"/>
    <mergeCell ref="BK8:BK10"/>
    <mergeCell ref="C234:D234"/>
    <mergeCell ref="BM8:BM10"/>
    <mergeCell ref="BN8:BN10"/>
    <mergeCell ref="H9:AM9"/>
    <mergeCell ref="AN9:BI9"/>
    <mergeCell ref="BJ9:BJ10"/>
    <mergeCell ref="E10:E11"/>
    <mergeCell ref="F10:F11"/>
    <mergeCell ref="G10:G11"/>
    <mergeCell ref="BN54:BN56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15"/>
  <sheetViews>
    <sheetView zoomScalePageLayoutView="0" workbookViewId="0" topLeftCell="A1">
      <pane xSplit="5" ySplit="4" topLeftCell="F1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O5" sqref="O5:R5"/>
    </sheetView>
  </sheetViews>
  <sheetFormatPr defaultColWidth="9.00390625" defaultRowHeight="12.75"/>
  <cols>
    <col min="1" max="1" width="5.625" style="0" customWidth="1"/>
    <col min="2" max="2" width="18.125" style="0" customWidth="1"/>
    <col min="3" max="5" width="4.375" style="0" customWidth="1"/>
    <col min="6" max="6" width="10.375" style="0" customWidth="1"/>
    <col min="7" max="7" width="7.625" style="0" customWidth="1"/>
    <col min="8" max="9" width="6.75390625" style="0" customWidth="1"/>
    <col min="10" max="10" width="6.625" style="0" customWidth="1"/>
    <col min="11" max="11" width="7.125" style="0" customWidth="1"/>
    <col min="12" max="12" width="7.75390625" style="0" customWidth="1"/>
    <col min="13" max="14" width="9.625" style="0" bestFit="1" customWidth="1"/>
    <col min="16" max="16" width="11.75390625" style="0" customWidth="1"/>
    <col min="18" max="18" width="10.625" style="0" customWidth="1"/>
  </cols>
  <sheetData>
    <row r="1" spans="1:2" ht="12.75">
      <c r="A1" s="84" t="s">
        <v>101</v>
      </c>
      <c r="B1" s="78" t="s">
        <v>164</v>
      </c>
    </row>
    <row r="2" spans="1:18" ht="14.25">
      <c r="A2" s="85" t="s">
        <v>102</v>
      </c>
      <c r="B2" s="284" t="s">
        <v>11</v>
      </c>
      <c r="C2" s="284" t="s">
        <v>103</v>
      </c>
      <c r="D2" s="284" t="s">
        <v>104</v>
      </c>
      <c r="E2" s="284" t="s">
        <v>105</v>
      </c>
      <c r="F2" s="87"/>
      <c r="G2" s="286" t="s">
        <v>106</v>
      </c>
      <c r="H2" s="287"/>
      <c r="I2" s="287"/>
      <c r="J2" s="287"/>
      <c r="K2" s="287"/>
      <c r="L2" s="288"/>
      <c r="M2" s="88" t="s">
        <v>107</v>
      </c>
      <c r="N2" s="87"/>
      <c r="O2" s="87"/>
      <c r="P2" s="87"/>
      <c r="Q2" s="87"/>
      <c r="R2" s="87"/>
    </row>
    <row r="3" spans="1:18" s="93" customFormat="1" ht="63" customHeight="1">
      <c r="A3" s="86" t="s">
        <v>100</v>
      </c>
      <c r="B3" s="285"/>
      <c r="C3" s="285"/>
      <c r="D3" s="285"/>
      <c r="E3" s="285"/>
      <c r="F3" s="89" t="s">
        <v>108</v>
      </c>
      <c r="G3" s="90" t="s">
        <v>109</v>
      </c>
      <c r="H3" s="90" t="s">
        <v>110</v>
      </c>
      <c r="I3" s="91" t="s">
        <v>111</v>
      </c>
      <c r="J3" s="91" t="s">
        <v>112</v>
      </c>
      <c r="K3" s="90" t="s">
        <v>135</v>
      </c>
      <c r="L3" s="91" t="s">
        <v>113</v>
      </c>
      <c r="M3" s="92" t="s">
        <v>114</v>
      </c>
      <c r="N3" s="92" t="s">
        <v>115</v>
      </c>
      <c r="O3" s="89" t="s">
        <v>116</v>
      </c>
      <c r="P3" s="92" t="s">
        <v>117</v>
      </c>
      <c r="Q3" s="89" t="s">
        <v>118</v>
      </c>
      <c r="R3" s="89" t="s">
        <v>119</v>
      </c>
    </row>
    <row r="4" spans="1:18" ht="14.25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  <c r="H4" s="94">
        <v>8</v>
      </c>
      <c r="I4" s="94">
        <v>9</v>
      </c>
      <c r="J4" s="94">
        <v>10</v>
      </c>
      <c r="K4" s="94">
        <v>11</v>
      </c>
      <c r="L4" s="94">
        <v>12</v>
      </c>
      <c r="M4" s="94">
        <v>13</v>
      </c>
      <c r="N4" s="94">
        <v>14</v>
      </c>
      <c r="O4" s="94">
        <v>15</v>
      </c>
      <c r="P4" s="94">
        <v>16</v>
      </c>
      <c r="Q4" s="94">
        <v>17</v>
      </c>
      <c r="R4" s="94">
        <v>18</v>
      </c>
    </row>
    <row r="5" spans="1:18" ht="15">
      <c r="A5" s="95">
        <v>1</v>
      </c>
      <c r="B5" s="96" t="s">
        <v>44</v>
      </c>
      <c r="C5" s="95">
        <v>94</v>
      </c>
      <c r="D5" s="95"/>
      <c r="E5" s="95"/>
      <c r="F5" s="97">
        <v>11697.19</v>
      </c>
      <c r="G5" s="98">
        <v>6</v>
      </c>
      <c r="H5" s="98">
        <v>9</v>
      </c>
      <c r="I5" s="98">
        <v>6</v>
      </c>
      <c r="J5" s="98"/>
      <c r="K5" s="98">
        <v>6</v>
      </c>
      <c r="L5" s="98"/>
      <c r="M5" s="99">
        <v>0</v>
      </c>
      <c r="N5" s="99">
        <v>1661.2</v>
      </c>
      <c r="O5" s="99">
        <v>2586</v>
      </c>
      <c r="P5" s="99">
        <v>1909.2</v>
      </c>
      <c r="Q5" s="99"/>
      <c r="R5" s="99">
        <v>2386</v>
      </c>
    </row>
    <row r="6" spans="1:37" ht="15">
      <c r="A6" s="100">
        <f aca="true" t="shared" si="0" ref="A6:A25">A5+1</f>
        <v>2</v>
      </c>
      <c r="B6" s="101" t="s">
        <v>47</v>
      </c>
      <c r="C6" s="100">
        <v>21</v>
      </c>
      <c r="D6" s="100"/>
      <c r="E6" s="100"/>
      <c r="F6" s="112">
        <v>11109</v>
      </c>
      <c r="G6" s="103">
        <v>6</v>
      </c>
      <c r="H6" s="103">
        <v>9</v>
      </c>
      <c r="I6" s="103">
        <v>6</v>
      </c>
      <c r="J6" s="103"/>
      <c r="K6" s="103">
        <v>6</v>
      </c>
      <c r="L6" s="103"/>
      <c r="M6" s="102">
        <v>284</v>
      </c>
      <c r="N6" s="102">
        <v>1653.6</v>
      </c>
      <c r="O6" s="102">
        <v>1489</v>
      </c>
      <c r="P6" s="102">
        <v>5533.6</v>
      </c>
      <c r="Q6" s="102"/>
      <c r="R6" s="102">
        <v>2800</v>
      </c>
      <c r="T6" s="5"/>
      <c r="U6" s="5"/>
      <c r="V6" s="1"/>
      <c r="W6" s="40"/>
      <c r="X6" s="40"/>
      <c r="Y6" s="40"/>
      <c r="Z6" s="52"/>
      <c r="AA6" s="51"/>
      <c r="AB6" s="54"/>
      <c r="AC6" s="40"/>
      <c r="AD6" s="54"/>
      <c r="AE6" s="54"/>
      <c r="AF6" s="54"/>
      <c r="AG6" s="54"/>
      <c r="AH6" s="40"/>
      <c r="AI6" s="44"/>
      <c r="AJ6" s="44"/>
      <c r="AK6" s="44"/>
    </row>
    <row r="7" spans="1:18" ht="15">
      <c r="A7" s="104">
        <f t="shared" si="0"/>
        <v>3</v>
      </c>
      <c r="B7" s="105" t="s">
        <v>47</v>
      </c>
      <c r="C7" s="104">
        <v>27</v>
      </c>
      <c r="D7" s="104"/>
      <c r="E7" s="104"/>
      <c r="F7" s="137">
        <v>3907.9</v>
      </c>
      <c r="G7" s="107">
        <v>6</v>
      </c>
      <c r="H7" s="107">
        <v>5</v>
      </c>
      <c r="I7" s="107">
        <v>6</v>
      </c>
      <c r="J7" s="107"/>
      <c r="K7" s="107"/>
      <c r="L7" s="107"/>
      <c r="M7" s="106">
        <v>0</v>
      </c>
      <c r="N7" s="106">
        <v>800</v>
      </c>
      <c r="O7" s="106">
        <v>808</v>
      </c>
      <c r="P7" s="106">
        <v>743.3</v>
      </c>
      <c r="Q7" s="106"/>
      <c r="R7" s="106">
        <v>619.7</v>
      </c>
    </row>
    <row r="8" spans="1:18" ht="15">
      <c r="A8" s="95">
        <f t="shared" si="0"/>
        <v>4</v>
      </c>
      <c r="B8" s="96" t="s">
        <v>47</v>
      </c>
      <c r="C8" s="95">
        <v>31</v>
      </c>
      <c r="D8" s="95"/>
      <c r="E8" s="95"/>
      <c r="F8" s="97">
        <v>3904.18</v>
      </c>
      <c r="G8" s="98">
        <v>6</v>
      </c>
      <c r="H8" s="98">
        <v>5</v>
      </c>
      <c r="I8" s="98">
        <v>6</v>
      </c>
      <c r="J8" s="98"/>
      <c r="K8" s="98"/>
      <c r="L8" s="98"/>
      <c r="M8" s="99">
        <v>0</v>
      </c>
      <c r="N8" s="99">
        <v>800</v>
      </c>
      <c r="O8" s="99">
        <v>793</v>
      </c>
      <c r="P8" s="99">
        <v>369</v>
      </c>
      <c r="Q8" s="99"/>
      <c r="R8" s="99">
        <v>0</v>
      </c>
    </row>
    <row r="9" spans="1:18" ht="15">
      <c r="A9" s="95">
        <f t="shared" si="0"/>
        <v>5</v>
      </c>
      <c r="B9" s="96" t="s">
        <v>47</v>
      </c>
      <c r="C9" s="95">
        <v>35</v>
      </c>
      <c r="D9" s="95"/>
      <c r="E9" s="95"/>
      <c r="F9" s="97">
        <v>3950.1</v>
      </c>
      <c r="G9" s="98">
        <v>6</v>
      </c>
      <c r="H9" s="98">
        <v>5</v>
      </c>
      <c r="I9" s="98">
        <v>6</v>
      </c>
      <c r="J9" s="98"/>
      <c r="K9" s="98"/>
      <c r="L9" s="98"/>
      <c r="M9" s="99">
        <v>0</v>
      </c>
      <c r="N9" s="99">
        <v>800</v>
      </c>
      <c r="O9" s="99">
        <v>1787</v>
      </c>
      <c r="P9" s="99">
        <v>1165</v>
      </c>
      <c r="Q9" s="99"/>
      <c r="R9" s="99">
        <v>1309</v>
      </c>
    </row>
    <row r="10" spans="1:18" ht="15">
      <c r="A10" s="95">
        <f t="shared" si="0"/>
        <v>6</v>
      </c>
      <c r="B10" s="96" t="s">
        <v>47</v>
      </c>
      <c r="C10" s="95">
        <v>39</v>
      </c>
      <c r="D10" s="95"/>
      <c r="E10" s="95"/>
      <c r="F10" s="97">
        <v>6995.1</v>
      </c>
      <c r="G10" s="98">
        <v>4</v>
      </c>
      <c r="H10" s="98">
        <v>9</v>
      </c>
      <c r="I10" s="98">
        <v>4</v>
      </c>
      <c r="J10" s="98"/>
      <c r="K10" s="98">
        <v>4</v>
      </c>
      <c r="L10" s="98"/>
      <c r="M10" s="99">
        <v>156.8</v>
      </c>
      <c r="N10" s="99">
        <v>1031</v>
      </c>
      <c r="O10" s="99">
        <v>2051</v>
      </c>
      <c r="P10" s="99">
        <v>1313</v>
      </c>
      <c r="Q10" s="99"/>
      <c r="R10" s="99">
        <v>2070</v>
      </c>
    </row>
    <row r="11" spans="1:18" ht="15">
      <c r="A11" s="104">
        <f t="shared" si="0"/>
        <v>7</v>
      </c>
      <c r="B11" s="105" t="s">
        <v>47</v>
      </c>
      <c r="C11" s="104">
        <v>45</v>
      </c>
      <c r="D11" s="104"/>
      <c r="E11" s="104"/>
      <c r="F11" s="137">
        <v>5208.8</v>
      </c>
      <c r="G11" s="107">
        <v>8</v>
      </c>
      <c r="H11" s="107">
        <v>5</v>
      </c>
      <c r="I11" s="107">
        <v>8</v>
      </c>
      <c r="J11" s="107"/>
      <c r="K11" s="107"/>
      <c r="L11" s="107"/>
      <c r="M11" s="106">
        <v>0</v>
      </c>
      <c r="N11" s="106">
        <v>1067</v>
      </c>
      <c r="O11" s="106">
        <v>1219.4</v>
      </c>
      <c r="P11" s="106">
        <v>575.8</v>
      </c>
      <c r="Q11" s="106"/>
      <c r="R11" s="106">
        <v>1196.2</v>
      </c>
    </row>
    <row r="12" spans="1:18" ht="15">
      <c r="A12" s="108">
        <f t="shared" si="0"/>
        <v>8</v>
      </c>
      <c r="B12" s="109" t="s">
        <v>47</v>
      </c>
      <c r="C12" s="108">
        <v>51</v>
      </c>
      <c r="D12" s="108"/>
      <c r="E12" s="108"/>
      <c r="F12" s="113">
        <v>3977.9</v>
      </c>
      <c r="G12" s="111">
        <v>6</v>
      </c>
      <c r="H12" s="111">
        <v>5</v>
      </c>
      <c r="I12" s="111">
        <v>6</v>
      </c>
      <c r="J12" s="111"/>
      <c r="K12" s="111"/>
      <c r="L12" s="111"/>
      <c r="M12" s="110">
        <v>16.4</v>
      </c>
      <c r="N12" s="110">
        <v>830.7</v>
      </c>
      <c r="O12" s="110">
        <v>1369</v>
      </c>
      <c r="P12" s="110">
        <v>2310</v>
      </c>
      <c r="Q12" s="110"/>
      <c r="R12" s="110">
        <v>1354</v>
      </c>
    </row>
    <row r="13" spans="1:18" ht="15">
      <c r="A13" s="108">
        <f t="shared" si="0"/>
        <v>9</v>
      </c>
      <c r="B13" s="109" t="s">
        <v>49</v>
      </c>
      <c r="C13" s="108">
        <v>53</v>
      </c>
      <c r="D13" s="108"/>
      <c r="E13" s="108"/>
      <c r="F13" s="113">
        <v>11414</v>
      </c>
      <c r="G13" s="111">
        <v>6</v>
      </c>
      <c r="H13" s="111">
        <v>9</v>
      </c>
      <c r="I13" s="111">
        <v>6</v>
      </c>
      <c r="J13" s="111"/>
      <c r="K13" s="111">
        <v>6</v>
      </c>
      <c r="L13" s="111"/>
      <c r="M13" s="110">
        <v>0</v>
      </c>
      <c r="N13" s="110">
        <v>1601</v>
      </c>
      <c r="O13" s="110">
        <v>1622.1</v>
      </c>
      <c r="P13" s="110">
        <v>3977</v>
      </c>
      <c r="Q13" s="110"/>
      <c r="R13" s="110">
        <v>2416</v>
      </c>
    </row>
    <row r="14" spans="1:18" ht="15">
      <c r="A14" s="100">
        <f t="shared" si="0"/>
        <v>10</v>
      </c>
      <c r="B14" s="101" t="s">
        <v>50</v>
      </c>
      <c r="C14" s="100">
        <v>5</v>
      </c>
      <c r="D14" s="100"/>
      <c r="E14" s="100"/>
      <c r="F14" s="112">
        <v>11651.6</v>
      </c>
      <c r="G14" s="103">
        <v>6</v>
      </c>
      <c r="H14" s="103">
        <v>9</v>
      </c>
      <c r="I14" s="103">
        <v>6</v>
      </c>
      <c r="J14" s="103"/>
      <c r="K14" s="103">
        <v>6</v>
      </c>
      <c r="L14" s="103"/>
      <c r="M14" s="102">
        <v>845.7</v>
      </c>
      <c r="N14" s="102">
        <v>747.2</v>
      </c>
      <c r="O14" s="102">
        <v>2201</v>
      </c>
      <c r="P14" s="102">
        <v>695</v>
      </c>
      <c r="Q14" s="102"/>
      <c r="R14" s="102">
        <v>4714</v>
      </c>
    </row>
    <row r="15" spans="1:18" ht="15">
      <c r="A15" s="100">
        <f t="shared" si="0"/>
        <v>11</v>
      </c>
      <c r="B15" s="101" t="s">
        <v>51</v>
      </c>
      <c r="C15" s="100">
        <v>65</v>
      </c>
      <c r="D15" s="100"/>
      <c r="E15" s="100"/>
      <c r="F15" s="112">
        <v>3586.05</v>
      </c>
      <c r="G15" s="103">
        <v>2</v>
      </c>
      <c r="H15" s="103">
        <v>9</v>
      </c>
      <c r="I15" s="103">
        <v>2</v>
      </c>
      <c r="J15" s="103"/>
      <c r="K15" s="103">
        <v>2</v>
      </c>
      <c r="L15" s="103"/>
      <c r="M15" s="102">
        <v>312</v>
      </c>
      <c r="N15" s="102">
        <v>383.4</v>
      </c>
      <c r="O15" s="102">
        <v>678.2</v>
      </c>
      <c r="P15" s="102">
        <v>958</v>
      </c>
      <c r="Q15" s="102"/>
      <c r="R15" s="102">
        <v>531</v>
      </c>
    </row>
    <row r="16" spans="1:18" ht="15">
      <c r="A16" s="100">
        <f t="shared" si="0"/>
        <v>12</v>
      </c>
      <c r="B16" s="101" t="s">
        <v>51</v>
      </c>
      <c r="C16" s="100">
        <v>67</v>
      </c>
      <c r="D16" s="100"/>
      <c r="E16" s="100"/>
      <c r="F16" s="112">
        <v>3629.89</v>
      </c>
      <c r="G16" s="103">
        <v>2</v>
      </c>
      <c r="H16" s="103">
        <v>9</v>
      </c>
      <c r="I16" s="103">
        <v>2</v>
      </c>
      <c r="J16" s="103"/>
      <c r="K16" s="103">
        <v>2</v>
      </c>
      <c r="L16" s="103"/>
      <c r="M16" s="102">
        <v>235.1</v>
      </c>
      <c r="N16" s="102">
        <v>385.2</v>
      </c>
      <c r="O16" s="102">
        <v>1201.8</v>
      </c>
      <c r="P16" s="102">
        <v>0</v>
      </c>
      <c r="Q16" s="102"/>
      <c r="R16" s="102">
        <v>1245</v>
      </c>
    </row>
    <row r="17" spans="1:18" ht="15">
      <c r="A17" s="108">
        <f t="shared" si="0"/>
        <v>13</v>
      </c>
      <c r="B17" s="109" t="s">
        <v>51</v>
      </c>
      <c r="C17" s="108">
        <v>69</v>
      </c>
      <c r="D17" s="108"/>
      <c r="E17" s="108"/>
      <c r="F17" s="113">
        <v>6622.5</v>
      </c>
      <c r="G17" s="111">
        <v>10</v>
      </c>
      <c r="H17" s="111">
        <v>5</v>
      </c>
      <c r="I17" s="111">
        <v>10</v>
      </c>
      <c r="J17" s="111"/>
      <c r="K17" s="111"/>
      <c r="L17" s="111"/>
      <c r="M17" s="110">
        <v>77.6</v>
      </c>
      <c r="N17" s="110">
        <v>1380.7</v>
      </c>
      <c r="O17" s="110">
        <v>1174.9</v>
      </c>
      <c r="P17" s="110">
        <v>806</v>
      </c>
      <c r="Q17" s="110"/>
      <c r="R17" s="110">
        <v>3675</v>
      </c>
    </row>
    <row r="18" spans="1:18" ht="15">
      <c r="A18" s="100">
        <f t="shared" si="0"/>
        <v>14</v>
      </c>
      <c r="B18" s="101" t="s">
        <v>51</v>
      </c>
      <c r="C18" s="100">
        <v>73</v>
      </c>
      <c r="D18" s="100"/>
      <c r="E18" s="100"/>
      <c r="F18" s="112">
        <v>3631.6</v>
      </c>
      <c r="G18" s="103">
        <v>2</v>
      </c>
      <c r="H18" s="103">
        <v>9</v>
      </c>
      <c r="I18" s="103">
        <v>2</v>
      </c>
      <c r="J18" s="103"/>
      <c r="K18" s="103">
        <v>2</v>
      </c>
      <c r="L18" s="103"/>
      <c r="M18" s="102">
        <v>259.6</v>
      </c>
      <c r="N18" s="102">
        <v>365.7</v>
      </c>
      <c r="O18" s="102">
        <v>463.8</v>
      </c>
      <c r="P18" s="102">
        <v>348</v>
      </c>
      <c r="Q18" s="102"/>
      <c r="R18" s="102">
        <v>1049</v>
      </c>
    </row>
    <row r="19" spans="1:18" ht="15">
      <c r="A19" s="108">
        <f t="shared" si="0"/>
        <v>15</v>
      </c>
      <c r="B19" s="109" t="s">
        <v>51</v>
      </c>
      <c r="C19" s="108">
        <v>79</v>
      </c>
      <c r="D19" s="108"/>
      <c r="E19" s="108"/>
      <c r="F19" s="113">
        <v>3600.32</v>
      </c>
      <c r="G19" s="111">
        <v>2</v>
      </c>
      <c r="H19" s="111">
        <v>9</v>
      </c>
      <c r="I19" s="111">
        <v>2</v>
      </c>
      <c r="J19" s="111"/>
      <c r="K19" s="111">
        <v>2</v>
      </c>
      <c r="L19" s="111"/>
      <c r="M19" s="110">
        <v>301.3</v>
      </c>
      <c r="N19" s="110">
        <v>379.2</v>
      </c>
      <c r="O19" s="110">
        <v>505.9</v>
      </c>
      <c r="P19" s="110">
        <v>430</v>
      </c>
      <c r="Q19" s="110"/>
      <c r="R19" s="110">
        <v>0</v>
      </c>
    </row>
    <row r="20" spans="1:18" ht="15">
      <c r="A20" s="108">
        <f t="shared" si="0"/>
        <v>16</v>
      </c>
      <c r="B20" s="109" t="s">
        <v>51</v>
      </c>
      <c r="C20" s="108">
        <v>81</v>
      </c>
      <c r="D20" s="108"/>
      <c r="E20" s="108"/>
      <c r="F20" s="113">
        <v>3653.8</v>
      </c>
      <c r="G20" s="111">
        <v>2</v>
      </c>
      <c r="H20" s="111">
        <v>9</v>
      </c>
      <c r="I20" s="111">
        <v>2</v>
      </c>
      <c r="J20" s="111"/>
      <c r="K20" s="111">
        <v>2</v>
      </c>
      <c r="L20" s="111"/>
      <c r="M20" s="110">
        <v>236.4</v>
      </c>
      <c r="N20" s="110">
        <v>387.5</v>
      </c>
      <c r="O20" s="110">
        <v>777.9</v>
      </c>
      <c r="P20" s="110">
        <v>239</v>
      </c>
      <c r="Q20" s="110"/>
      <c r="R20" s="110">
        <v>1025</v>
      </c>
    </row>
    <row r="21" spans="1:18" ht="15">
      <c r="A21" s="108">
        <f t="shared" si="0"/>
        <v>17</v>
      </c>
      <c r="B21" s="109" t="s">
        <v>51</v>
      </c>
      <c r="C21" s="108">
        <v>83</v>
      </c>
      <c r="D21" s="108" t="s">
        <v>41</v>
      </c>
      <c r="E21" s="108"/>
      <c r="F21" s="113">
        <v>2032</v>
      </c>
      <c r="G21" s="111">
        <v>1</v>
      </c>
      <c r="H21" s="111">
        <v>7</v>
      </c>
      <c r="I21" s="111">
        <v>1</v>
      </c>
      <c r="J21" s="111" t="s">
        <v>129</v>
      </c>
      <c r="K21" s="111">
        <v>1</v>
      </c>
      <c r="L21" s="111"/>
      <c r="M21" s="110">
        <v>125.6</v>
      </c>
      <c r="N21" s="110">
        <v>99</v>
      </c>
      <c r="O21" s="110">
        <v>615.8</v>
      </c>
      <c r="P21" s="110">
        <v>533.4</v>
      </c>
      <c r="Q21" s="110"/>
      <c r="R21" s="110">
        <v>60</v>
      </c>
    </row>
    <row r="22" spans="1:18" ht="15">
      <c r="A22" s="108">
        <f t="shared" si="0"/>
        <v>18</v>
      </c>
      <c r="B22" s="114" t="s">
        <v>51</v>
      </c>
      <c r="C22" s="115">
        <v>83</v>
      </c>
      <c r="D22" s="115"/>
      <c r="E22" s="115"/>
      <c r="F22" s="116">
        <v>9486.28</v>
      </c>
      <c r="G22" s="117">
        <v>4</v>
      </c>
      <c r="H22" s="117">
        <v>9</v>
      </c>
      <c r="I22" s="117">
        <v>4</v>
      </c>
      <c r="J22" s="117"/>
      <c r="K22" s="117">
        <v>4</v>
      </c>
      <c r="L22" s="117"/>
      <c r="M22" s="118">
        <v>620.8</v>
      </c>
      <c r="N22" s="118">
        <v>357</v>
      </c>
      <c r="O22" s="118">
        <v>2359.5</v>
      </c>
      <c r="P22" s="118">
        <v>1584</v>
      </c>
      <c r="Q22" s="118"/>
      <c r="R22" s="118">
        <v>1250</v>
      </c>
    </row>
    <row r="23" spans="1:18" ht="15">
      <c r="A23" s="119">
        <f t="shared" si="0"/>
        <v>19</v>
      </c>
      <c r="B23" s="120" t="s">
        <v>44</v>
      </c>
      <c r="C23" s="119">
        <v>86</v>
      </c>
      <c r="D23" s="119"/>
      <c r="E23" s="119"/>
      <c r="F23" s="123">
        <v>11786.61</v>
      </c>
      <c r="G23" s="122">
        <v>6</v>
      </c>
      <c r="H23" s="122">
        <v>9</v>
      </c>
      <c r="I23" s="122">
        <v>6</v>
      </c>
      <c r="J23" s="122"/>
      <c r="K23" s="122">
        <v>6</v>
      </c>
      <c r="L23" s="122"/>
      <c r="M23" s="121">
        <v>890.6</v>
      </c>
      <c r="N23" s="121">
        <v>752.8</v>
      </c>
      <c r="O23" s="121">
        <v>1767</v>
      </c>
      <c r="P23" s="121">
        <v>3745</v>
      </c>
      <c r="Q23" s="121"/>
      <c r="R23" s="121">
        <v>6362</v>
      </c>
    </row>
    <row r="24" spans="1:18" ht="15">
      <c r="A24" s="119">
        <f t="shared" si="0"/>
        <v>20</v>
      </c>
      <c r="B24" s="120" t="s">
        <v>47</v>
      </c>
      <c r="C24" s="119">
        <v>43</v>
      </c>
      <c r="D24" s="119"/>
      <c r="E24" s="119"/>
      <c r="F24" s="123">
        <v>5053.83</v>
      </c>
      <c r="G24" s="122">
        <v>8</v>
      </c>
      <c r="H24" s="122">
        <v>5</v>
      </c>
      <c r="I24" s="122">
        <v>8</v>
      </c>
      <c r="J24" s="122"/>
      <c r="K24" s="122"/>
      <c r="L24" s="122"/>
      <c r="M24" s="121">
        <v>0</v>
      </c>
      <c r="N24" s="121">
        <v>1398</v>
      </c>
      <c r="O24" s="121">
        <v>1302</v>
      </c>
      <c r="P24" s="121">
        <v>950</v>
      </c>
      <c r="Q24" s="121"/>
      <c r="R24" s="121">
        <v>7009</v>
      </c>
    </row>
    <row r="25" spans="1:18" ht="15">
      <c r="A25" s="124">
        <f t="shared" si="0"/>
        <v>21</v>
      </c>
      <c r="B25" s="125" t="s">
        <v>47</v>
      </c>
      <c r="C25" s="124">
        <v>25</v>
      </c>
      <c r="D25" s="124"/>
      <c r="E25" s="124"/>
      <c r="F25" s="138">
        <v>11563.4</v>
      </c>
      <c r="G25" s="127">
        <v>6</v>
      </c>
      <c r="H25" s="127">
        <v>9</v>
      </c>
      <c r="I25" s="127">
        <v>6</v>
      </c>
      <c r="J25" s="127"/>
      <c r="K25" s="127">
        <v>6</v>
      </c>
      <c r="L25" s="127"/>
      <c r="M25" s="126">
        <v>0</v>
      </c>
      <c r="N25" s="126">
        <v>1910</v>
      </c>
      <c r="O25" s="126">
        <v>2009.7</v>
      </c>
      <c r="P25" s="126">
        <v>2870</v>
      </c>
      <c r="Q25" s="126"/>
      <c r="R25" s="126">
        <v>1517</v>
      </c>
    </row>
    <row r="26" spans="1:18" ht="15">
      <c r="A26" s="128">
        <f>A25+1</f>
        <v>22</v>
      </c>
      <c r="B26" s="129" t="s">
        <v>47</v>
      </c>
      <c r="C26" s="128">
        <v>41</v>
      </c>
      <c r="D26" s="128"/>
      <c r="E26" s="128"/>
      <c r="F26" s="130">
        <v>5279.65</v>
      </c>
      <c r="G26" s="131">
        <v>8</v>
      </c>
      <c r="H26" s="131">
        <v>5</v>
      </c>
      <c r="I26" s="131">
        <v>8</v>
      </c>
      <c r="J26" s="131"/>
      <c r="K26" s="131"/>
      <c r="L26" s="131"/>
      <c r="M26" s="132">
        <v>0</v>
      </c>
      <c r="N26" s="132">
        <v>1172</v>
      </c>
      <c r="O26" s="132">
        <v>1495</v>
      </c>
      <c r="P26" s="132">
        <v>0</v>
      </c>
      <c r="Q26" s="132"/>
      <c r="R26" s="132">
        <v>2060</v>
      </c>
    </row>
    <row r="27" spans="1:18" ht="12.75">
      <c r="A27" s="133">
        <f>A26</f>
        <v>22</v>
      </c>
      <c r="B27" s="134" t="s">
        <v>121</v>
      </c>
      <c r="C27" s="134"/>
      <c r="D27" s="134"/>
      <c r="E27" s="134"/>
      <c r="F27" s="135">
        <f>SUM(F5:F26)</f>
        <v>143741.7</v>
      </c>
      <c r="G27" s="136">
        <f>SUM(G5:G26)</f>
        <v>113</v>
      </c>
      <c r="H27" s="136">
        <f aca="true" t="shared" si="1" ref="H27:R27">SUM(H5:H26)</f>
        <v>164</v>
      </c>
      <c r="I27" s="136">
        <f t="shared" si="1"/>
        <v>113</v>
      </c>
      <c r="J27" s="136">
        <f t="shared" si="1"/>
        <v>0</v>
      </c>
      <c r="K27" s="136">
        <f t="shared" si="1"/>
        <v>55</v>
      </c>
      <c r="L27" s="136">
        <f t="shared" si="1"/>
        <v>0</v>
      </c>
      <c r="M27" s="233">
        <f t="shared" si="1"/>
        <v>4361.900000000001</v>
      </c>
      <c r="N27" s="135">
        <f t="shared" si="1"/>
        <v>19962.200000000004</v>
      </c>
      <c r="O27" s="136">
        <f t="shared" si="1"/>
        <v>30277.000000000004</v>
      </c>
      <c r="P27" s="136">
        <f t="shared" si="1"/>
        <v>31054.300000000003</v>
      </c>
      <c r="Q27" s="136">
        <f t="shared" si="1"/>
        <v>0</v>
      </c>
      <c r="R27" s="136">
        <f t="shared" si="1"/>
        <v>44647.9</v>
      </c>
    </row>
    <row r="28" spans="1:18" ht="14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</row>
    <row r="29" spans="1:18" ht="15">
      <c r="A29" s="108">
        <v>1</v>
      </c>
      <c r="B29" s="109" t="s">
        <v>51</v>
      </c>
      <c r="C29" s="108">
        <v>103</v>
      </c>
      <c r="D29" s="108"/>
      <c r="E29" s="108"/>
      <c r="F29" s="113">
        <v>15866.9</v>
      </c>
      <c r="G29" s="111">
        <v>8</v>
      </c>
      <c r="H29" s="111">
        <v>9</v>
      </c>
      <c r="I29" s="111">
        <v>8</v>
      </c>
      <c r="J29" s="111"/>
      <c r="K29" s="111">
        <v>8</v>
      </c>
      <c r="L29" s="111"/>
      <c r="M29" s="110">
        <v>305.1</v>
      </c>
      <c r="N29" s="110">
        <v>1729</v>
      </c>
      <c r="O29" s="110">
        <v>2251.4</v>
      </c>
      <c r="P29" s="110">
        <v>6532</v>
      </c>
      <c r="Q29" s="110"/>
      <c r="R29" s="110">
        <v>1352</v>
      </c>
    </row>
    <row r="30" spans="1:18" ht="15">
      <c r="A30" s="108">
        <f aca="true" t="shared" si="2" ref="A30:A47">A29+1</f>
        <v>2</v>
      </c>
      <c r="B30" s="109" t="s">
        <v>51</v>
      </c>
      <c r="C30" s="108">
        <v>109</v>
      </c>
      <c r="D30" s="108" t="s">
        <v>41</v>
      </c>
      <c r="E30" s="108"/>
      <c r="F30" s="113">
        <v>3681.52</v>
      </c>
      <c r="G30" s="111">
        <v>1</v>
      </c>
      <c r="H30" s="111">
        <v>12</v>
      </c>
      <c r="I30" s="111">
        <v>1</v>
      </c>
      <c r="J30" s="111"/>
      <c r="K30" s="111">
        <v>2</v>
      </c>
      <c r="L30" s="111"/>
      <c r="M30" s="110">
        <v>450</v>
      </c>
      <c r="N30" s="110">
        <v>190</v>
      </c>
      <c r="O30" s="110">
        <v>672.8</v>
      </c>
      <c r="P30" s="110">
        <v>1760.1</v>
      </c>
      <c r="Q30" s="110"/>
      <c r="R30" s="110">
        <v>216</v>
      </c>
    </row>
    <row r="31" spans="1:18" ht="15">
      <c r="A31" s="108">
        <f t="shared" si="2"/>
        <v>3</v>
      </c>
      <c r="B31" s="109" t="s">
        <v>51</v>
      </c>
      <c r="C31" s="108">
        <v>111</v>
      </c>
      <c r="D31" s="108" t="s">
        <v>41</v>
      </c>
      <c r="E31" s="108"/>
      <c r="F31" s="113">
        <v>3835.5</v>
      </c>
      <c r="G31" s="111">
        <v>1</v>
      </c>
      <c r="H31" s="111">
        <v>12</v>
      </c>
      <c r="I31" s="111">
        <v>1</v>
      </c>
      <c r="J31" s="111"/>
      <c r="K31" s="111">
        <v>2</v>
      </c>
      <c r="L31" s="111"/>
      <c r="M31" s="110">
        <v>464.4</v>
      </c>
      <c r="N31" s="110">
        <v>248</v>
      </c>
      <c r="O31" s="110">
        <v>749.8</v>
      </c>
      <c r="P31" s="110">
        <v>2586.3</v>
      </c>
      <c r="Q31" s="110"/>
      <c r="R31" s="110">
        <v>0</v>
      </c>
    </row>
    <row r="32" spans="1:18" ht="15">
      <c r="A32" s="100">
        <f t="shared" si="2"/>
        <v>4</v>
      </c>
      <c r="B32" s="101" t="s">
        <v>53</v>
      </c>
      <c r="C32" s="100">
        <v>16</v>
      </c>
      <c r="D32" s="100"/>
      <c r="E32" s="100"/>
      <c r="F32" s="112">
        <v>12264.01</v>
      </c>
      <c r="G32" s="103">
        <v>6</v>
      </c>
      <c r="H32" s="103">
        <v>9</v>
      </c>
      <c r="I32" s="103">
        <v>6</v>
      </c>
      <c r="J32" s="103"/>
      <c r="K32" s="103">
        <v>6</v>
      </c>
      <c r="L32" s="103"/>
      <c r="M32" s="102">
        <v>60.9</v>
      </c>
      <c r="N32" s="102">
        <v>1923</v>
      </c>
      <c r="O32" s="102">
        <v>1620.8</v>
      </c>
      <c r="P32" s="102">
        <v>5852.1</v>
      </c>
      <c r="Q32" s="102"/>
      <c r="R32" s="102">
        <v>4934.8</v>
      </c>
    </row>
    <row r="33" spans="1:18" ht="15">
      <c r="A33" s="104">
        <f t="shared" si="2"/>
        <v>5</v>
      </c>
      <c r="B33" s="105" t="s">
        <v>51</v>
      </c>
      <c r="C33" s="104">
        <v>113</v>
      </c>
      <c r="D33" s="104"/>
      <c r="E33" s="104"/>
      <c r="F33" s="137">
        <v>6702.81</v>
      </c>
      <c r="G33" s="107">
        <v>4</v>
      </c>
      <c r="H33" s="107">
        <v>9</v>
      </c>
      <c r="I33" s="107">
        <v>4</v>
      </c>
      <c r="J33" s="107"/>
      <c r="K33" s="107">
        <v>4</v>
      </c>
      <c r="L33" s="107"/>
      <c r="M33" s="106">
        <v>0</v>
      </c>
      <c r="N33" s="106">
        <v>832.5</v>
      </c>
      <c r="O33" s="106">
        <v>1651.1</v>
      </c>
      <c r="P33" s="106">
        <v>2205</v>
      </c>
      <c r="Q33" s="106"/>
      <c r="R33" s="106">
        <v>764</v>
      </c>
    </row>
    <row r="34" spans="1:18" ht="15">
      <c r="A34" s="119">
        <f t="shared" si="2"/>
        <v>6</v>
      </c>
      <c r="B34" s="120" t="s">
        <v>57</v>
      </c>
      <c r="C34" s="119">
        <v>36</v>
      </c>
      <c r="D34" s="119"/>
      <c r="E34" s="119"/>
      <c r="F34" s="123">
        <v>33960.32</v>
      </c>
      <c r="G34" s="122">
        <v>18</v>
      </c>
      <c r="H34" s="122">
        <v>9</v>
      </c>
      <c r="I34" s="122">
        <v>18</v>
      </c>
      <c r="J34" s="122"/>
      <c r="K34" s="122">
        <v>18</v>
      </c>
      <c r="L34" s="122"/>
      <c r="M34" s="121">
        <v>1496.9</v>
      </c>
      <c r="N34" s="121">
        <v>2825.1</v>
      </c>
      <c r="O34" s="121">
        <v>7039.3</v>
      </c>
      <c r="P34" s="121">
        <v>6219.8</v>
      </c>
      <c r="Q34" s="121"/>
      <c r="R34" s="121">
        <v>7355</v>
      </c>
    </row>
    <row r="35" spans="1:18" ht="15">
      <c r="A35" s="124">
        <f t="shared" si="2"/>
        <v>7</v>
      </c>
      <c r="B35" s="125" t="s">
        <v>53</v>
      </c>
      <c r="C35" s="124">
        <v>6</v>
      </c>
      <c r="D35" s="124"/>
      <c r="E35" s="124"/>
      <c r="F35" s="138">
        <v>3758.7</v>
      </c>
      <c r="G35" s="127">
        <v>1</v>
      </c>
      <c r="H35" s="127">
        <v>12</v>
      </c>
      <c r="I35" s="127">
        <v>1</v>
      </c>
      <c r="J35" s="127"/>
      <c r="K35" s="127">
        <v>2</v>
      </c>
      <c r="L35" s="127"/>
      <c r="M35" s="126">
        <v>455.1</v>
      </c>
      <c r="N35" s="126">
        <v>191.9</v>
      </c>
      <c r="O35" s="126">
        <v>1901</v>
      </c>
      <c r="P35" s="126">
        <v>2268</v>
      </c>
      <c r="Q35" s="126"/>
      <c r="R35" s="126">
        <v>900</v>
      </c>
    </row>
    <row r="36" spans="1:18" ht="15">
      <c r="A36" s="124">
        <f t="shared" si="2"/>
        <v>8</v>
      </c>
      <c r="B36" s="125" t="s">
        <v>53</v>
      </c>
      <c r="C36" s="124">
        <v>8</v>
      </c>
      <c r="D36" s="124"/>
      <c r="E36" s="124"/>
      <c r="F36" s="138">
        <v>12436.09</v>
      </c>
      <c r="G36" s="127">
        <v>6</v>
      </c>
      <c r="H36" s="127">
        <v>9</v>
      </c>
      <c r="I36" s="127">
        <v>6</v>
      </c>
      <c r="J36" s="127"/>
      <c r="K36" s="127">
        <v>6</v>
      </c>
      <c r="L36" s="127"/>
      <c r="M36" s="126">
        <v>961.2</v>
      </c>
      <c r="N36" s="126">
        <v>744.4</v>
      </c>
      <c r="O36" s="126">
        <v>3141.2</v>
      </c>
      <c r="P36" s="126">
        <v>4774</v>
      </c>
      <c r="Q36" s="126"/>
      <c r="R36" s="126">
        <v>2800</v>
      </c>
    </row>
    <row r="37" spans="1:18" ht="15">
      <c r="A37" s="124">
        <f t="shared" si="2"/>
        <v>9</v>
      </c>
      <c r="B37" s="125" t="s">
        <v>51</v>
      </c>
      <c r="C37" s="124">
        <v>119</v>
      </c>
      <c r="D37" s="124"/>
      <c r="E37" s="124"/>
      <c r="F37" s="138">
        <v>11540.4</v>
      </c>
      <c r="G37" s="127">
        <v>6</v>
      </c>
      <c r="H37" s="127">
        <v>9</v>
      </c>
      <c r="I37" s="127">
        <v>6</v>
      </c>
      <c r="J37" s="127"/>
      <c r="K37" s="127">
        <v>6</v>
      </c>
      <c r="L37" s="127"/>
      <c r="M37" s="126">
        <v>0</v>
      </c>
      <c r="N37" s="126">
        <v>1606</v>
      </c>
      <c r="O37" s="126">
        <v>2034.8</v>
      </c>
      <c r="P37" s="126">
        <v>6402.3</v>
      </c>
      <c r="Q37" s="126"/>
      <c r="R37" s="126">
        <v>3469</v>
      </c>
    </row>
    <row r="38" spans="1:18" ht="15">
      <c r="A38" s="124">
        <f t="shared" si="2"/>
        <v>10</v>
      </c>
      <c r="B38" s="125" t="s">
        <v>51</v>
      </c>
      <c r="C38" s="124">
        <v>123</v>
      </c>
      <c r="D38" s="124"/>
      <c r="E38" s="124"/>
      <c r="F38" s="138">
        <v>3689.8</v>
      </c>
      <c r="G38" s="127">
        <v>1</v>
      </c>
      <c r="H38" s="127">
        <v>12</v>
      </c>
      <c r="I38" s="127">
        <v>1</v>
      </c>
      <c r="J38" s="127"/>
      <c r="K38" s="127">
        <v>2</v>
      </c>
      <c r="L38" s="127"/>
      <c r="M38" s="126">
        <v>390.6</v>
      </c>
      <c r="N38" s="126">
        <v>282.8</v>
      </c>
      <c r="O38" s="126">
        <v>1310.8</v>
      </c>
      <c r="P38" s="126">
        <v>1805.8</v>
      </c>
      <c r="Q38" s="126"/>
      <c r="R38" s="126">
        <v>600</v>
      </c>
    </row>
    <row r="39" spans="1:18" ht="15">
      <c r="A39" s="139">
        <f t="shared" si="2"/>
        <v>11</v>
      </c>
      <c r="B39" s="140" t="s">
        <v>51</v>
      </c>
      <c r="C39" s="139">
        <v>111</v>
      </c>
      <c r="D39" s="139"/>
      <c r="E39" s="139"/>
      <c r="F39" s="190">
        <v>4283.5</v>
      </c>
      <c r="G39" s="142">
        <v>6</v>
      </c>
      <c r="H39" s="142">
        <v>5</v>
      </c>
      <c r="I39" s="142">
        <v>6</v>
      </c>
      <c r="J39" s="142"/>
      <c r="K39" s="142"/>
      <c r="L39" s="142"/>
      <c r="M39" s="141">
        <v>0</v>
      </c>
      <c r="N39" s="141">
        <v>694.3</v>
      </c>
      <c r="O39" s="141">
        <v>1117.1</v>
      </c>
      <c r="P39" s="141">
        <v>1351</v>
      </c>
      <c r="Q39" s="141"/>
      <c r="R39" s="141">
        <v>1500</v>
      </c>
    </row>
    <row r="40" spans="1:18" ht="15">
      <c r="A40" s="143">
        <f t="shared" si="2"/>
        <v>12</v>
      </c>
      <c r="B40" s="144" t="s">
        <v>53</v>
      </c>
      <c r="C40" s="143">
        <v>18</v>
      </c>
      <c r="D40" s="143"/>
      <c r="E40" s="143"/>
      <c r="F40" s="228">
        <v>3679</v>
      </c>
      <c r="G40" s="146">
        <v>1</v>
      </c>
      <c r="H40" s="146">
        <v>12</v>
      </c>
      <c r="I40" s="146">
        <v>1</v>
      </c>
      <c r="J40" s="146"/>
      <c r="K40" s="146">
        <v>2</v>
      </c>
      <c r="L40" s="146"/>
      <c r="M40" s="145">
        <v>605.7</v>
      </c>
      <c r="N40" s="145">
        <v>200.9</v>
      </c>
      <c r="O40" s="145">
        <v>976.7</v>
      </c>
      <c r="P40" s="145">
        <v>2121.9</v>
      </c>
      <c r="Q40" s="145"/>
      <c r="R40" s="145">
        <v>2110</v>
      </c>
    </row>
    <row r="41" spans="1:18" ht="15">
      <c r="A41" s="104">
        <f t="shared" si="2"/>
        <v>13</v>
      </c>
      <c r="B41" s="105" t="s">
        <v>53</v>
      </c>
      <c r="C41" s="104">
        <v>14</v>
      </c>
      <c r="D41" s="104"/>
      <c r="E41" s="104"/>
      <c r="F41" s="137">
        <v>5166.98</v>
      </c>
      <c r="G41" s="107">
        <v>8</v>
      </c>
      <c r="H41" s="107">
        <v>5</v>
      </c>
      <c r="I41" s="107"/>
      <c r="J41" s="107"/>
      <c r="K41" s="107"/>
      <c r="L41" s="107"/>
      <c r="M41" s="106">
        <v>0</v>
      </c>
      <c r="N41" s="106">
        <v>720.2</v>
      </c>
      <c r="O41" s="106">
        <v>2576.1</v>
      </c>
      <c r="P41" s="106">
        <v>4066</v>
      </c>
      <c r="Q41" s="106"/>
      <c r="R41" s="106">
        <v>1965.3</v>
      </c>
    </row>
    <row r="42" spans="1:18" ht="15">
      <c r="A42" s="104">
        <f t="shared" si="2"/>
        <v>14</v>
      </c>
      <c r="B42" s="105" t="s">
        <v>57</v>
      </c>
      <c r="C42" s="104">
        <v>44</v>
      </c>
      <c r="D42" s="104"/>
      <c r="E42" s="104"/>
      <c r="F42" s="106">
        <v>3888.4</v>
      </c>
      <c r="G42" s="107">
        <v>6</v>
      </c>
      <c r="H42" s="107">
        <v>5</v>
      </c>
      <c r="I42" s="107"/>
      <c r="J42" s="107"/>
      <c r="K42" s="107"/>
      <c r="L42" s="107"/>
      <c r="M42" s="106">
        <v>0</v>
      </c>
      <c r="N42" s="106">
        <v>589</v>
      </c>
      <c r="O42" s="106">
        <v>994.5</v>
      </c>
      <c r="P42" s="106">
        <v>2886.4</v>
      </c>
      <c r="Q42" s="106"/>
      <c r="R42" s="106">
        <v>1940</v>
      </c>
    </row>
    <row r="43" spans="1:18" ht="15">
      <c r="A43" s="108">
        <f t="shared" si="2"/>
        <v>15</v>
      </c>
      <c r="B43" s="109" t="s">
        <v>51</v>
      </c>
      <c r="C43" s="108">
        <v>97</v>
      </c>
      <c r="D43" s="108"/>
      <c r="E43" s="108"/>
      <c r="F43" s="113">
        <v>5144.62</v>
      </c>
      <c r="G43" s="111">
        <v>8</v>
      </c>
      <c r="H43" s="111">
        <v>5</v>
      </c>
      <c r="I43" s="111"/>
      <c r="J43" s="111"/>
      <c r="K43" s="111"/>
      <c r="L43" s="111"/>
      <c r="M43" s="110">
        <v>0</v>
      </c>
      <c r="N43" s="110">
        <v>709.5</v>
      </c>
      <c r="O43" s="110">
        <v>1200.6</v>
      </c>
      <c r="P43" s="110">
        <v>2130</v>
      </c>
      <c r="Q43" s="110"/>
      <c r="R43" s="110">
        <v>1530</v>
      </c>
    </row>
    <row r="44" spans="1:18" ht="15">
      <c r="A44" s="108">
        <f t="shared" si="2"/>
        <v>16</v>
      </c>
      <c r="B44" s="109" t="s">
        <v>51</v>
      </c>
      <c r="C44" s="108">
        <v>105</v>
      </c>
      <c r="D44" s="108"/>
      <c r="E44" s="108"/>
      <c r="F44" s="110">
        <v>2545</v>
      </c>
      <c r="G44" s="111">
        <v>4</v>
      </c>
      <c r="H44" s="111">
        <v>5</v>
      </c>
      <c r="I44" s="111"/>
      <c r="J44" s="111"/>
      <c r="K44" s="111"/>
      <c r="L44" s="111"/>
      <c r="M44" s="110">
        <v>0</v>
      </c>
      <c r="N44" s="110">
        <v>423.5</v>
      </c>
      <c r="O44" s="110">
        <v>854.7</v>
      </c>
      <c r="P44" s="110">
        <v>1654.6</v>
      </c>
      <c r="Q44" s="110"/>
      <c r="R44" s="110">
        <v>846.8</v>
      </c>
    </row>
    <row r="45" spans="1:18" ht="15">
      <c r="A45" s="104">
        <f t="shared" si="2"/>
        <v>17</v>
      </c>
      <c r="B45" s="105" t="s">
        <v>51</v>
      </c>
      <c r="C45" s="104">
        <v>107</v>
      </c>
      <c r="D45" s="104"/>
      <c r="E45" s="104"/>
      <c r="F45" s="106">
        <v>5169.3</v>
      </c>
      <c r="G45" s="107">
        <v>8</v>
      </c>
      <c r="H45" s="107">
        <v>5</v>
      </c>
      <c r="I45" s="107"/>
      <c r="J45" s="107"/>
      <c r="K45" s="107"/>
      <c r="L45" s="107"/>
      <c r="M45" s="106">
        <v>0</v>
      </c>
      <c r="N45" s="106">
        <v>723</v>
      </c>
      <c r="O45" s="106">
        <v>1333.4</v>
      </c>
      <c r="P45" s="106">
        <v>1773.8</v>
      </c>
      <c r="Q45" s="106"/>
      <c r="R45" s="106">
        <v>1530.2</v>
      </c>
    </row>
    <row r="46" spans="1:18" ht="15">
      <c r="A46" s="108">
        <f t="shared" si="2"/>
        <v>18</v>
      </c>
      <c r="B46" s="114" t="s">
        <v>51</v>
      </c>
      <c r="C46" s="115">
        <v>121</v>
      </c>
      <c r="D46" s="115"/>
      <c r="E46" s="115"/>
      <c r="F46" s="118">
        <v>5274.7</v>
      </c>
      <c r="G46" s="117">
        <v>8</v>
      </c>
      <c r="H46" s="117">
        <v>5</v>
      </c>
      <c r="I46" s="117"/>
      <c r="J46" s="117"/>
      <c r="K46" s="117"/>
      <c r="L46" s="117"/>
      <c r="M46" s="118">
        <v>0</v>
      </c>
      <c r="N46" s="118">
        <v>744</v>
      </c>
      <c r="O46" s="118">
        <v>1692.8</v>
      </c>
      <c r="P46" s="118">
        <v>2058</v>
      </c>
      <c r="Q46" s="118"/>
      <c r="R46" s="118">
        <v>2649.7</v>
      </c>
    </row>
    <row r="47" spans="1:18" ht="15">
      <c r="A47" s="119">
        <f t="shared" si="2"/>
        <v>19</v>
      </c>
      <c r="B47" s="120" t="s">
        <v>53</v>
      </c>
      <c r="C47" s="119">
        <v>12</v>
      </c>
      <c r="D47" s="119"/>
      <c r="E47" s="119"/>
      <c r="F47" s="121">
        <v>5180</v>
      </c>
      <c r="G47" s="122">
        <v>8</v>
      </c>
      <c r="H47" s="122">
        <v>5</v>
      </c>
      <c r="I47" s="122"/>
      <c r="J47" s="122"/>
      <c r="K47" s="122"/>
      <c r="L47" s="122"/>
      <c r="M47" s="121">
        <v>0</v>
      </c>
      <c r="N47" s="121">
        <v>701.6</v>
      </c>
      <c r="O47" s="121">
        <v>2479</v>
      </c>
      <c r="P47" s="121">
        <v>1270.6</v>
      </c>
      <c r="Q47" s="121"/>
      <c r="R47" s="121">
        <v>2902</v>
      </c>
    </row>
    <row r="48" spans="1:20" ht="15">
      <c r="A48" s="124">
        <f>A47+1</f>
        <v>20</v>
      </c>
      <c r="B48" s="125" t="s">
        <v>57</v>
      </c>
      <c r="C48" s="124">
        <v>42</v>
      </c>
      <c r="D48" s="124"/>
      <c r="E48" s="124"/>
      <c r="F48" s="126">
        <v>3832.9</v>
      </c>
      <c r="G48" s="127">
        <v>6</v>
      </c>
      <c r="H48" s="127">
        <v>5</v>
      </c>
      <c r="I48" s="127"/>
      <c r="J48" s="127"/>
      <c r="K48" s="127"/>
      <c r="L48" s="127"/>
      <c r="M48" s="126">
        <v>69.4</v>
      </c>
      <c r="N48" s="126">
        <v>556.5</v>
      </c>
      <c r="O48" s="126">
        <v>1183.9</v>
      </c>
      <c r="P48" s="126">
        <v>1025</v>
      </c>
      <c r="Q48" s="126"/>
      <c r="R48" s="126">
        <v>1924</v>
      </c>
      <c r="S48" s="227"/>
      <c r="T48" s="227"/>
    </row>
    <row r="49" spans="1:18" ht="12.75">
      <c r="A49" s="133">
        <f>A48</f>
        <v>20</v>
      </c>
      <c r="B49" s="134" t="s">
        <v>120</v>
      </c>
      <c r="C49" s="134"/>
      <c r="D49" s="134"/>
      <c r="E49" s="134"/>
      <c r="F49" s="159">
        <f>SUM(F29:F48)</f>
        <v>151900.44999999998</v>
      </c>
      <c r="G49" s="147">
        <f aca="true" t="shared" si="3" ref="G49:R49">SUM(G29:G48)</f>
        <v>115</v>
      </c>
      <c r="H49" s="147">
        <f t="shared" si="3"/>
        <v>159</v>
      </c>
      <c r="I49" s="147">
        <f t="shared" si="3"/>
        <v>59</v>
      </c>
      <c r="J49" s="147">
        <f t="shared" si="3"/>
        <v>0</v>
      </c>
      <c r="K49" s="147">
        <f t="shared" si="3"/>
        <v>58</v>
      </c>
      <c r="L49" s="147">
        <f t="shared" si="3"/>
        <v>0</v>
      </c>
      <c r="M49" s="234">
        <f t="shared" si="3"/>
        <v>5259.3</v>
      </c>
      <c r="N49" s="234">
        <f t="shared" si="3"/>
        <v>16635.199999999997</v>
      </c>
      <c r="O49" s="147">
        <f t="shared" si="3"/>
        <v>36781.8</v>
      </c>
      <c r="P49" s="147">
        <f t="shared" si="3"/>
        <v>60742.700000000004</v>
      </c>
      <c r="Q49" s="147">
        <f t="shared" si="3"/>
        <v>0</v>
      </c>
      <c r="R49" s="147">
        <f t="shared" si="3"/>
        <v>41288.799999999996</v>
      </c>
    </row>
    <row r="50" spans="1:18" ht="14.2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</row>
    <row r="51" spans="1:18" ht="15">
      <c r="A51" s="108">
        <v>1</v>
      </c>
      <c r="B51" s="109" t="s">
        <v>44</v>
      </c>
      <c r="C51" s="108">
        <v>46</v>
      </c>
      <c r="D51" s="108"/>
      <c r="E51" s="108"/>
      <c r="F51" s="113">
        <v>2715.8</v>
      </c>
      <c r="G51" s="111">
        <v>1</v>
      </c>
      <c r="H51" s="111">
        <v>9</v>
      </c>
      <c r="I51" s="111">
        <v>1</v>
      </c>
      <c r="J51" s="111"/>
      <c r="K51" s="111">
        <v>1</v>
      </c>
      <c r="L51" s="111"/>
      <c r="M51" s="110">
        <v>377.1</v>
      </c>
      <c r="N51" s="110">
        <v>237.6</v>
      </c>
      <c r="O51" s="110">
        <v>668</v>
      </c>
      <c r="P51" s="110">
        <v>1918.8</v>
      </c>
      <c r="Q51" s="110"/>
      <c r="R51" s="110">
        <v>323</v>
      </c>
    </row>
    <row r="52" spans="1:18" ht="15">
      <c r="A52" s="108">
        <f aca="true" t="shared" si="4" ref="A52:A88">A51+1</f>
        <v>2</v>
      </c>
      <c r="B52" s="109" t="s">
        <v>44</v>
      </c>
      <c r="C52" s="108">
        <v>48</v>
      </c>
      <c r="D52" s="148"/>
      <c r="E52" s="108"/>
      <c r="F52" s="113">
        <v>3029.4</v>
      </c>
      <c r="G52" s="111">
        <v>1</v>
      </c>
      <c r="H52" s="111">
        <v>9</v>
      </c>
      <c r="I52" s="111">
        <v>1</v>
      </c>
      <c r="J52" s="111"/>
      <c r="K52" s="111">
        <v>1</v>
      </c>
      <c r="L52" s="111"/>
      <c r="M52" s="110">
        <v>335.5</v>
      </c>
      <c r="N52" s="110">
        <v>238.8</v>
      </c>
      <c r="O52" s="110">
        <v>1072</v>
      </c>
      <c r="P52" s="110">
        <v>917.5</v>
      </c>
      <c r="Q52" s="110"/>
      <c r="R52" s="110">
        <v>576.5</v>
      </c>
    </row>
    <row r="53" spans="1:18" ht="15">
      <c r="A53" s="108">
        <f t="shared" si="4"/>
        <v>3</v>
      </c>
      <c r="B53" s="109" t="s">
        <v>44</v>
      </c>
      <c r="C53" s="108">
        <v>50</v>
      </c>
      <c r="D53" s="108"/>
      <c r="E53" s="108"/>
      <c r="F53" s="113">
        <v>2924.4</v>
      </c>
      <c r="G53" s="111">
        <v>1</v>
      </c>
      <c r="H53" s="111">
        <v>9</v>
      </c>
      <c r="I53" s="111">
        <v>1</v>
      </c>
      <c r="J53" s="111"/>
      <c r="K53" s="111">
        <v>1</v>
      </c>
      <c r="L53" s="111"/>
      <c r="M53" s="110">
        <v>398.6</v>
      </c>
      <c r="N53" s="110">
        <v>232.7</v>
      </c>
      <c r="O53" s="110">
        <v>1493.5</v>
      </c>
      <c r="P53" s="110">
        <v>2342</v>
      </c>
      <c r="Q53" s="110"/>
      <c r="R53" s="110">
        <v>324</v>
      </c>
    </row>
    <row r="54" spans="1:18" ht="15">
      <c r="A54" s="108">
        <f t="shared" si="4"/>
        <v>4</v>
      </c>
      <c r="B54" s="109" t="s">
        <v>44</v>
      </c>
      <c r="C54" s="108">
        <v>54</v>
      </c>
      <c r="D54" s="108"/>
      <c r="E54" s="108"/>
      <c r="F54" s="113">
        <v>2885.8</v>
      </c>
      <c r="G54" s="111">
        <v>1</v>
      </c>
      <c r="H54" s="111">
        <v>9</v>
      </c>
      <c r="I54" s="111">
        <v>1</v>
      </c>
      <c r="J54" s="111"/>
      <c r="K54" s="111">
        <v>1</v>
      </c>
      <c r="L54" s="111"/>
      <c r="M54" s="110">
        <v>387.5</v>
      </c>
      <c r="N54" s="110">
        <v>274.9</v>
      </c>
      <c r="O54" s="110">
        <v>1248</v>
      </c>
      <c r="P54" s="110">
        <v>3075.7</v>
      </c>
      <c r="Q54" s="110"/>
      <c r="R54" s="110">
        <v>648</v>
      </c>
    </row>
    <row r="55" spans="1:18" ht="15">
      <c r="A55" s="108">
        <f t="shared" si="4"/>
        <v>5</v>
      </c>
      <c r="B55" s="109" t="s">
        <v>44</v>
      </c>
      <c r="C55" s="108">
        <v>56</v>
      </c>
      <c r="D55" s="108"/>
      <c r="E55" s="108"/>
      <c r="F55" s="113">
        <v>2916.7</v>
      </c>
      <c r="G55" s="111">
        <v>1</v>
      </c>
      <c r="H55" s="111">
        <v>9</v>
      </c>
      <c r="I55" s="111">
        <v>1</v>
      </c>
      <c r="J55" s="111"/>
      <c r="K55" s="111">
        <v>1</v>
      </c>
      <c r="L55" s="111"/>
      <c r="M55" s="110">
        <v>387.5</v>
      </c>
      <c r="N55" s="110">
        <v>274.9</v>
      </c>
      <c r="O55" s="110">
        <v>7</v>
      </c>
      <c r="P55" s="110">
        <v>0</v>
      </c>
      <c r="Q55" s="110"/>
      <c r="R55" s="110">
        <v>0</v>
      </c>
    </row>
    <row r="56" spans="1:18" ht="15">
      <c r="A56" s="108">
        <f t="shared" si="4"/>
        <v>6</v>
      </c>
      <c r="B56" s="109" t="s">
        <v>44</v>
      </c>
      <c r="C56" s="108">
        <v>62</v>
      </c>
      <c r="D56" s="108"/>
      <c r="E56" s="108"/>
      <c r="F56" s="113">
        <v>5658.4</v>
      </c>
      <c r="G56" s="111">
        <v>3</v>
      </c>
      <c r="H56" s="111">
        <v>9</v>
      </c>
      <c r="I56" s="111">
        <v>3</v>
      </c>
      <c r="J56" s="111"/>
      <c r="K56" s="111">
        <v>3</v>
      </c>
      <c r="L56" s="111"/>
      <c r="M56" s="110">
        <v>124.4</v>
      </c>
      <c r="N56" s="110">
        <v>943</v>
      </c>
      <c r="O56" s="110">
        <v>2276.5</v>
      </c>
      <c r="P56" s="110">
        <v>2082.5</v>
      </c>
      <c r="Q56" s="110"/>
      <c r="R56" s="110">
        <v>647.5</v>
      </c>
    </row>
    <row r="57" spans="1:18" ht="15">
      <c r="A57" s="108">
        <f t="shared" si="4"/>
        <v>7</v>
      </c>
      <c r="B57" s="109" t="s">
        <v>62</v>
      </c>
      <c r="C57" s="108">
        <v>58</v>
      </c>
      <c r="D57" s="108"/>
      <c r="E57" s="108"/>
      <c r="F57" s="113">
        <v>2919.9</v>
      </c>
      <c r="G57" s="111">
        <v>1</v>
      </c>
      <c r="H57" s="111">
        <v>9</v>
      </c>
      <c r="I57" s="111">
        <v>1</v>
      </c>
      <c r="J57" s="111"/>
      <c r="K57" s="111">
        <v>1</v>
      </c>
      <c r="L57" s="111"/>
      <c r="M57" s="110">
        <v>387.5</v>
      </c>
      <c r="N57" s="110">
        <v>274.9</v>
      </c>
      <c r="O57" s="110">
        <v>7</v>
      </c>
      <c r="P57" s="110">
        <v>0</v>
      </c>
      <c r="Q57" s="110"/>
      <c r="R57" s="110">
        <v>0</v>
      </c>
    </row>
    <row r="58" spans="1:18" ht="15">
      <c r="A58" s="108">
        <f t="shared" si="4"/>
        <v>8</v>
      </c>
      <c r="B58" s="109" t="s">
        <v>63</v>
      </c>
      <c r="C58" s="108">
        <v>60</v>
      </c>
      <c r="D58" s="108"/>
      <c r="E58" s="108"/>
      <c r="F58" s="113">
        <v>5776.1</v>
      </c>
      <c r="G58" s="111">
        <v>3</v>
      </c>
      <c r="H58" s="111">
        <v>9</v>
      </c>
      <c r="I58" s="111">
        <v>3</v>
      </c>
      <c r="J58" s="111"/>
      <c r="K58" s="111">
        <v>3</v>
      </c>
      <c r="L58" s="111"/>
      <c r="M58" s="110">
        <v>114.2</v>
      </c>
      <c r="N58" s="110">
        <v>943</v>
      </c>
      <c r="O58" s="110">
        <v>1735.5</v>
      </c>
      <c r="P58" s="110">
        <v>2254</v>
      </c>
      <c r="Q58" s="110"/>
      <c r="R58" s="110">
        <v>756</v>
      </c>
    </row>
    <row r="59" spans="1:18" ht="15">
      <c r="A59" s="108">
        <f t="shared" si="4"/>
        <v>9</v>
      </c>
      <c r="B59" s="109" t="s">
        <v>64</v>
      </c>
      <c r="C59" s="108">
        <v>3</v>
      </c>
      <c r="D59" s="108"/>
      <c r="E59" s="108"/>
      <c r="F59" s="113">
        <v>9367.4</v>
      </c>
      <c r="G59" s="111">
        <v>5</v>
      </c>
      <c r="H59" s="111">
        <v>9</v>
      </c>
      <c r="I59" s="111">
        <v>5</v>
      </c>
      <c r="J59" s="111"/>
      <c r="K59" s="111">
        <v>5</v>
      </c>
      <c r="L59" s="111"/>
      <c r="M59" s="110">
        <v>558.1</v>
      </c>
      <c r="N59" s="110">
        <v>1139.4</v>
      </c>
      <c r="O59" s="110">
        <v>1911</v>
      </c>
      <c r="P59" s="110">
        <v>6050.7</v>
      </c>
      <c r="Q59" s="110"/>
      <c r="R59" s="110">
        <v>358.3</v>
      </c>
    </row>
    <row r="60" spans="1:18" ht="15">
      <c r="A60" s="108">
        <f t="shared" si="4"/>
        <v>10</v>
      </c>
      <c r="B60" s="109" t="s">
        <v>64</v>
      </c>
      <c r="C60" s="108">
        <v>4</v>
      </c>
      <c r="D60" s="108"/>
      <c r="E60" s="108"/>
      <c r="F60" s="113">
        <v>9442.9</v>
      </c>
      <c r="G60" s="111">
        <v>5</v>
      </c>
      <c r="H60" s="111">
        <v>9</v>
      </c>
      <c r="I60" s="111">
        <v>5</v>
      </c>
      <c r="J60" s="111"/>
      <c r="K60" s="111">
        <v>5</v>
      </c>
      <c r="L60" s="111"/>
      <c r="M60" s="110">
        <v>107.9</v>
      </c>
      <c r="N60" s="110">
        <v>1195.6</v>
      </c>
      <c r="O60" s="110">
        <v>2056.5</v>
      </c>
      <c r="P60" s="110">
        <v>3219.8</v>
      </c>
      <c r="Q60" s="110"/>
      <c r="R60" s="110">
        <v>2548.2</v>
      </c>
    </row>
    <row r="61" spans="1:18" ht="15">
      <c r="A61" s="108">
        <f t="shared" si="4"/>
        <v>11</v>
      </c>
      <c r="B61" s="109" t="s">
        <v>64</v>
      </c>
      <c r="C61" s="108">
        <v>10</v>
      </c>
      <c r="D61" s="108"/>
      <c r="E61" s="108"/>
      <c r="F61" s="113">
        <v>7804.1</v>
      </c>
      <c r="G61" s="111">
        <v>4</v>
      </c>
      <c r="H61" s="111">
        <v>9</v>
      </c>
      <c r="I61" s="111">
        <v>4</v>
      </c>
      <c r="J61" s="111"/>
      <c r="K61" s="111">
        <v>4</v>
      </c>
      <c r="L61" s="111"/>
      <c r="M61" s="110">
        <v>417.4</v>
      </c>
      <c r="N61" s="110">
        <v>596</v>
      </c>
      <c r="O61" s="110">
        <v>2097</v>
      </c>
      <c r="P61" s="110">
        <v>2359.5</v>
      </c>
      <c r="Q61" s="110"/>
      <c r="R61" s="110">
        <v>1075.5</v>
      </c>
    </row>
    <row r="62" spans="1:18" ht="15">
      <c r="A62" s="108">
        <f t="shared" si="4"/>
        <v>12</v>
      </c>
      <c r="B62" s="109" t="s">
        <v>64</v>
      </c>
      <c r="C62" s="108">
        <v>12</v>
      </c>
      <c r="D62" s="108"/>
      <c r="E62" s="108"/>
      <c r="F62" s="113">
        <v>9578.4</v>
      </c>
      <c r="G62" s="111">
        <v>5</v>
      </c>
      <c r="H62" s="111">
        <v>9</v>
      </c>
      <c r="I62" s="111">
        <v>5</v>
      </c>
      <c r="J62" s="111"/>
      <c r="K62" s="111">
        <v>5</v>
      </c>
      <c r="L62" s="111"/>
      <c r="M62" s="110">
        <v>478.8</v>
      </c>
      <c r="N62" s="110">
        <v>910.7</v>
      </c>
      <c r="O62" s="110">
        <v>2296.5</v>
      </c>
      <c r="P62" s="110">
        <v>3762.1</v>
      </c>
      <c r="Q62" s="110"/>
      <c r="R62" s="110">
        <v>1454.9</v>
      </c>
    </row>
    <row r="63" spans="1:18" ht="15">
      <c r="A63" s="108">
        <f t="shared" si="4"/>
        <v>13</v>
      </c>
      <c r="B63" s="109" t="s">
        <v>64</v>
      </c>
      <c r="C63" s="108">
        <v>16</v>
      </c>
      <c r="D63" s="108"/>
      <c r="E63" s="108"/>
      <c r="F63" s="113">
        <v>5875.2</v>
      </c>
      <c r="G63" s="111">
        <v>3</v>
      </c>
      <c r="H63" s="111">
        <v>9</v>
      </c>
      <c r="I63" s="111">
        <v>3</v>
      </c>
      <c r="J63" s="111"/>
      <c r="K63" s="111">
        <v>3</v>
      </c>
      <c r="L63" s="111"/>
      <c r="M63" s="110">
        <v>276.6</v>
      </c>
      <c r="N63" s="110">
        <v>483</v>
      </c>
      <c r="O63" s="110">
        <v>1342.5</v>
      </c>
      <c r="P63" s="110">
        <v>1479</v>
      </c>
      <c r="Q63" s="110"/>
      <c r="R63" s="110">
        <v>578</v>
      </c>
    </row>
    <row r="64" spans="1:18" ht="15">
      <c r="A64" s="108">
        <f t="shared" si="4"/>
        <v>14</v>
      </c>
      <c r="B64" s="109" t="s">
        <v>64</v>
      </c>
      <c r="C64" s="108">
        <v>18</v>
      </c>
      <c r="D64" s="108"/>
      <c r="E64" s="108"/>
      <c r="F64" s="113">
        <v>7609.7</v>
      </c>
      <c r="G64" s="111">
        <v>4</v>
      </c>
      <c r="H64" s="111">
        <v>9</v>
      </c>
      <c r="I64" s="111">
        <v>4</v>
      </c>
      <c r="J64" s="111"/>
      <c r="K64" s="111">
        <v>4</v>
      </c>
      <c r="L64" s="111"/>
      <c r="M64" s="110">
        <v>427.1</v>
      </c>
      <c r="N64" s="110">
        <v>674.4</v>
      </c>
      <c r="O64" s="110">
        <v>2337.7</v>
      </c>
      <c r="P64" s="110">
        <v>3485.4</v>
      </c>
      <c r="Q64" s="110"/>
      <c r="R64" s="110">
        <v>628</v>
      </c>
    </row>
    <row r="65" spans="1:18" ht="15">
      <c r="A65" s="108">
        <f t="shared" si="4"/>
        <v>15</v>
      </c>
      <c r="B65" s="109" t="s">
        <v>64</v>
      </c>
      <c r="C65" s="108">
        <v>22</v>
      </c>
      <c r="D65" s="108"/>
      <c r="E65" s="108"/>
      <c r="F65" s="113">
        <v>11797.5</v>
      </c>
      <c r="G65" s="111">
        <v>6</v>
      </c>
      <c r="H65" s="111">
        <v>9</v>
      </c>
      <c r="I65" s="111">
        <v>6</v>
      </c>
      <c r="J65" s="111"/>
      <c r="K65" s="111">
        <v>6</v>
      </c>
      <c r="L65" s="111"/>
      <c r="M65" s="110">
        <v>531</v>
      </c>
      <c r="N65" s="110">
        <v>1046.7</v>
      </c>
      <c r="O65" s="110">
        <v>2336.2</v>
      </c>
      <c r="P65" s="110">
        <v>1778.3</v>
      </c>
      <c r="Q65" s="110"/>
      <c r="R65" s="110">
        <v>1949.7</v>
      </c>
    </row>
    <row r="66" spans="1:18" ht="15">
      <c r="A66" s="108">
        <f t="shared" si="4"/>
        <v>16</v>
      </c>
      <c r="B66" s="109" t="s">
        <v>47</v>
      </c>
      <c r="C66" s="108">
        <v>48</v>
      </c>
      <c r="D66" s="108"/>
      <c r="E66" s="108"/>
      <c r="F66" s="113">
        <v>3599.7</v>
      </c>
      <c r="G66" s="111">
        <v>1</v>
      </c>
      <c r="H66" s="111">
        <v>12</v>
      </c>
      <c r="I66" s="111">
        <v>1</v>
      </c>
      <c r="J66" s="111"/>
      <c r="K66" s="111">
        <v>2</v>
      </c>
      <c r="L66" s="111"/>
      <c r="M66" s="110">
        <v>702.5</v>
      </c>
      <c r="N66" s="110">
        <v>201.2</v>
      </c>
      <c r="O66" s="110">
        <v>1558.44</v>
      </c>
      <c r="P66" s="110">
        <v>1028.38</v>
      </c>
      <c r="Q66" s="110"/>
      <c r="R66" s="110">
        <v>0</v>
      </c>
    </row>
    <row r="67" spans="1:18" ht="15">
      <c r="A67" s="108">
        <f t="shared" si="4"/>
        <v>17</v>
      </c>
      <c r="B67" s="109" t="s">
        <v>47</v>
      </c>
      <c r="C67" s="108">
        <v>50</v>
      </c>
      <c r="D67" s="108" t="s">
        <v>41</v>
      </c>
      <c r="E67" s="108"/>
      <c r="F67" s="113">
        <v>3530.5</v>
      </c>
      <c r="G67" s="111">
        <v>2</v>
      </c>
      <c r="H67" s="111">
        <v>9</v>
      </c>
      <c r="I67" s="111">
        <v>2</v>
      </c>
      <c r="J67" s="111"/>
      <c r="K67" s="111">
        <v>2</v>
      </c>
      <c r="L67" s="111"/>
      <c r="M67" s="110">
        <v>31.2</v>
      </c>
      <c r="N67" s="110">
        <v>499.7</v>
      </c>
      <c r="O67" s="110">
        <v>802.5</v>
      </c>
      <c r="P67" s="110">
        <v>2528</v>
      </c>
      <c r="Q67" s="110"/>
      <c r="R67" s="110">
        <v>688</v>
      </c>
    </row>
    <row r="68" spans="1:18" ht="15">
      <c r="A68" s="108">
        <f t="shared" si="4"/>
        <v>18</v>
      </c>
      <c r="B68" s="109" t="s">
        <v>47</v>
      </c>
      <c r="C68" s="108">
        <v>50</v>
      </c>
      <c r="D68" s="108"/>
      <c r="E68" s="108"/>
      <c r="F68" s="113">
        <v>7252.7</v>
      </c>
      <c r="G68" s="111">
        <v>4</v>
      </c>
      <c r="H68" s="111">
        <v>9</v>
      </c>
      <c r="I68" s="111">
        <v>4</v>
      </c>
      <c r="J68" s="111"/>
      <c r="K68" s="111">
        <v>4</v>
      </c>
      <c r="L68" s="111"/>
      <c r="M68" s="110">
        <v>388.5</v>
      </c>
      <c r="N68" s="110">
        <v>596</v>
      </c>
      <c r="O68" s="110">
        <v>1837</v>
      </c>
      <c r="P68" s="110">
        <v>2600.6</v>
      </c>
      <c r="Q68" s="110"/>
      <c r="R68" s="110">
        <v>942.4</v>
      </c>
    </row>
    <row r="69" spans="1:18" ht="15">
      <c r="A69" s="108">
        <f t="shared" si="4"/>
        <v>19</v>
      </c>
      <c r="B69" s="109" t="s">
        <v>49</v>
      </c>
      <c r="C69" s="108">
        <v>54</v>
      </c>
      <c r="D69" s="108" t="s">
        <v>41</v>
      </c>
      <c r="E69" s="108"/>
      <c r="F69" s="113">
        <v>3890.67</v>
      </c>
      <c r="G69" s="111">
        <v>2</v>
      </c>
      <c r="H69" s="111">
        <v>9</v>
      </c>
      <c r="I69" s="111">
        <v>2</v>
      </c>
      <c r="J69" s="111"/>
      <c r="K69" s="111">
        <v>2</v>
      </c>
      <c r="L69" s="111"/>
      <c r="M69" s="110">
        <v>129.8</v>
      </c>
      <c r="N69" s="110">
        <v>463</v>
      </c>
      <c r="O69" s="110">
        <v>1069.8</v>
      </c>
      <c r="P69" s="110">
        <v>2835</v>
      </c>
      <c r="Q69" s="110"/>
      <c r="R69" s="110">
        <v>504</v>
      </c>
    </row>
    <row r="70" spans="1:18" ht="15">
      <c r="A70" s="108">
        <f t="shared" si="4"/>
        <v>20</v>
      </c>
      <c r="B70" s="109" t="s">
        <v>49</v>
      </c>
      <c r="C70" s="108">
        <v>54</v>
      </c>
      <c r="D70" s="108"/>
      <c r="E70" s="108"/>
      <c r="F70" s="113">
        <v>11581.2</v>
      </c>
      <c r="G70" s="111">
        <v>6</v>
      </c>
      <c r="H70" s="111">
        <v>9</v>
      </c>
      <c r="I70" s="111">
        <v>6</v>
      </c>
      <c r="J70" s="111"/>
      <c r="K70" s="111">
        <v>6</v>
      </c>
      <c r="L70" s="111"/>
      <c r="M70" s="110">
        <v>564.6</v>
      </c>
      <c r="N70" s="110">
        <v>1070.9</v>
      </c>
      <c r="O70" s="110">
        <v>2575.2</v>
      </c>
      <c r="P70" s="110">
        <v>5493.8</v>
      </c>
      <c r="Q70" s="110"/>
      <c r="R70" s="110">
        <v>1028.2</v>
      </c>
    </row>
    <row r="71" spans="1:18" ht="15">
      <c r="A71" s="108">
        <f t="shared" si="4"/>
        <v>21</v>
      </c>
      <c r="B71" s="109" t="s">
        <v>49</v>
      </c>
      <c r="C71" s="108">
        <v>56</v>
      </c>
      <c r="D71" s="108" t="s">
        <v>41</v>
      </c>
      <c r="E71" s="108"/>
      <c r="F71" s="113">
        <v>3830.4</v>
      </c>
      <c r="G71" s="111">
        <v>2</v>
      </c>
      <c r="H71" s="111">
        <v>9</v>
      </c>
      <c r="I71" s="111">
        <v>2</v>
      </c>
      <c r="J71" s="111"/>
      <c r="K71" s="111">
        <v>2</v>
      </c>
      <c r="L71" s="111"/>
      <c r="M71" s="110">
        <v>32.7</v>
      </c>
      <c r="N71" s="110">
        <v>423</v>
      </c>
      <c r="O71" s="110">
        <v>1063.5</v>
      </c>
      <c r="P71" s="110">
        <v>1357</v>
      </c>
      <c r="Q71" s="110"/>
      <c r="R71" s="110">
        <v>1060</v>
      </c>
    </row>
    <row r="72" spans="1:18" ht="15">
      <c r="A72" s="108">
        <f t="shared" si="4"/>
        <v>22</v>
      </c>
      <c r="B72" s="109" t="s">
        <v>49</v>
      </c>
      <c r="C72" s="108">
        <v>56</v>
      </c>
      <c r="D72" s="108"/>
      <c r="E72" s="108"/>
      <c r="F72" s="113">
        <v>14505.4</v>
      </c>
      <c r="G72" s="111">
        <v>8</v>
      </c>
      <c r="H72" s="111">
        <v>9</v>
      </c>
      <c r="I72" s="111">
        <v>8</v>
      </c>
      <c r="J72" s="111"/>
      <c r="K72" s="111">
        <v>8</v>
      </c>
      <c r="L72" s="111"/>
      <c r="M72" s="110">
        <v>165.5</v>
      </c>
      <c r="N72" s="110">
        <v>2153.9</v>
      </c>
      <c r="O72" s="110">
        <v>3796.2</v>
      </c>
      <c r="P72" s="110">
        <v>5086</v>
      </c>
      <c r="Q72" s="110"/>
      <c r="R72" s="110">
        <v>1759</v>
      </c>
    </row>
    <row r="73" spans="1:18" ht="15">
      <c r="A73" s="108">
        <f t="shared" si="4"/>
        <v>23</v>
      </c>
      <c r="B73" s="109" t="s">
        <v>65</v>
      </c>
      <c r="C73" s="108">
        <v>1</v>
      </c>
      <c r="D73" s="108"/>
      <c r="E73" s="108"/>
      <c r="F73" s="113">
        <v>15313.3</v>
      </c>
      <c r="G73" s="111">
        <v>8</v>
      </c>
      <c r="H73" s="111">
        <v>9</v>
      </c>
      <c r="I73" s="111">
        <v>8</v>
      </c>
      <c r="J73" s="111"/>
      <c r="K73" s="111">
        <v>8</v>
      </c>
      <c r="L73" s="111"/>
      <c r="M73" s="110">
        <v>812.9</v>
      </c>
      <c r="N73" s="110">
        <v>1247.5</v>
      </c>
      <c r="O73" s="110">
        <v>3494</v>
      </c>
      <c r="P73" s="110">
        <v>2575.3</v>
      </c>
      <c r="Q73" s="110"/>
      <c r="R73" s="110">
        <v>2222.7</v>
      </c>
    </row>
    <row r="74" spans="1:18" ht="15">
      <c r="A74" s="108">
        <f t="shared" si="4"/>
        <v>24</v>
      </c>
      <c r="B74" s="109" t="s">
        <v>51</v>
      </c>
      <c r="C74" s="108">
        <v>33</v>
      </c>
      <c r="D74" s="108"/>
      <c r="E74" s="108"/>
      <c r="F74" s="113">
        <v>5711.9</v>
      </c>
      <c r="G74" s="111">
        <v>1</v>
      </c>
      <c r="H74" s="111">
        <v>16</v>
      </c>
      <c r="I74" s="111">
        <v>1</v>
      </c>
      <c r="J74" s="111"/>
      <c r="K74" s="111">
        <v>2</v>
      </c>
      <c r="L74" s="111"/>
      <c r="M74" s="110">
        <v>977.9</v>
      </c>
      <c r="N74" s="110">
        <v>241.3</v>
      </c>
      <c r="O74" s="110">
        <v>1504.3</v>
      </c>
      <c r="P74" s="110">
        <v>1250.9</v>
      </c>
      <c r="Q74" s="110"/>
      <c r="R74" s="110">
        <v>411.1</v>
      </c>
    </row>
    <row r="75" spans="1:18" ht="15">
      <c r="A75" s="108">
        <f t="shared" si="4"/>
        <v>25</v>
      </c>
      <c r="B75" s="109" t="s">
        <v>51</v>
      </c>
      <c r="C75" s="108">
        <v>35</v>
      </c>
      <c r="D75" s="108"/>
      <c r="E75" s="108"/>
      <c r="F75" s="113">
        <v>11697.12</v>
      </c>
      <c r="G75" s="111">
        <v>6</v>
      </c>
      <c r="H75" s="111">
        <v>9</v>
      </c>
      <c r="I75" s="111">
        <v>6</v>
      </c>
      <c r="J75" s="111"/>
      <c r="K75" s="111">
        <v>6</v>
      </c>
      <c r="L75" s="111"/>
      <c r="M75" s="110">
        <v>532.8</v>
      </c>
      <c r="N75" s="110">
        <v>1066.7</v>
      </c>
      <c r="O75" s="110">
        <v>2563.6</v>
      </c>
      <c r="P75" s="110">
        <v>3424.7</v>
      </c>
      <c r="Q75" s="110"/>
      <c r="R75" s="110">
        <v>707.3</v>
      </c>
    </row>
    <row r="76" spans="1:18" ht="15">
      <c r="A76" s="108">
        <f t="shared" si="4"/>
        <v>26</v>
      </c>
      <c r="B76" s="109" t="s">
        <v>51</v>
      </c>
      <c r="C76" s="108">
        <v>39</v>
      </c>
      <c r="D76" s="108"/>
      <c r="E76" s="108"/>
      <c r="F76" s="113">
        <v>15958.3</v>
      </c>
      <c r="G76" s="111">
        <v>8</v>
      </c>
      <c r="H76" s="111">
        <v>9</v>
      </c>
      <c r="I76" s="111">
        <v>8</v>
      </c>
      <c r="J76" s="111"/>
      <c r="K76" s="111">
        <v>8</v>
      </c>
      <c r="L76" s="111"/>
      <c r="M76" s="110">
        <v>854.1</v>
      </c>
      <c r="N76" s="110">
        <v>1355.1</v>
      </c>
      <c r="O76" s="110">
        <v>3838</v>
      </c>
      <c r="P76" s="110">
        <v>6526.2</v>
      </c>
      <c r="Q76" s="110"/>
      <c r="R76" s="110">
        <v>2000.8</v>
      </c>
    </row>
    <row r="77" spans="1:18" ht="15">
      <c r="A77" s="108">
        <f t="shared" si="4"/>
        <v>27</v>
      </c>
      <c r="B77" s="109" t="s">
        <v>51</v>
      </c>
      <c r="C77" s="108">
        <v>41</v>
      </c>
      <c r="D77" s="108"/>
      <c r="E77" s="108"/>
      <c r="F77" s="113">
        <v>9785.1</v>
      </c>
      <c r="G77" s="111">
        <v>5</v>
      </c>
      <c r="H77" s="111">
        <v>9</v>
      </c>
      <c r="I77" s="111">
        <v>5</v>
      </c>
      <c r="J77" s="111"/>
      <c r="K77" s="111">
        <v>5</v>
      </c>
      <c r="L77" s="111"/>
      <c r="M77" s="110">
        <v>512</v>
      </c>
      <c r="N77" s="110">
        <v>910.6</v>
      </c>
      <c r="O77" s="110">
        <v>1651</v>
      </c>
      <c r="P77" s="110">
        <v>3616.8</v>
      </c>
      <c r="Q77" s="110"/>
      <c r="R77" s="110">
        <v>958.2</v>
      </c>
    </row>
    <row r="78" spans="1:18" ht="15">
      <c r="A78" s="108">
        <f t="shared" si="4"/>
        <v>28</v>
      </c>
      <c r="B78" s="109" t="s">
        <v>51</v>
      </c>
      <c r="C78" s="108">
        <v>43</v>
      </c>
      <c r="D78" s="108"/>
      <c r="E78" s="108"/>
      <c r="F78" s="113">
        <v>9658.4</v>
      </c>
      <c r="G78" s="111">
        <v>5</v>
      </c>
      <c r="H78" s="111">
        <v>9</v>
      </c>
      <c r="I78" s="111">
        <v>5</v>
      </c>
      <c r="J78" s="111"/>
      <c r="K78" s="111">
        <v>5</v>
      </c>
      <c r="L78" s="111"/>
      <c r="M78" s="110">
        <v>246.6</v>
      </c>
      <c r="N78" s="110">
        <v>1173.7</v>
      </c>
      <c r="O78" s="110">
        <v>2847</v>
      </c>
      <c r="P78" s="110">
        <v>5133</v>
      </c>
      <c r="Q78" s="110"/>
      <c r="R78" s="110">
        <v>1805</v>
      </c>
    </row>
    <row r="79" spans="1:18" ht="15">
      <c r="A79" s="108">
        <f t="shared" si="4"/>
        <v>29</v>
      </c>
      <c r="B79" s="109" t="s">
        <v>51</v>
      </c>
      <c r="C79" s="108">
        <v>51</v>
      </c>
      <c r="D79" s="108"/>
      <c r="E79" s="108"/>
      <c r="F79" s="113">
        <v>9821.1</v>
      </c>
      <c r="G79" s="111">
        <v>5</v>
      </c>
      <c r="H79" s="111">
        <v>9</v>
      </c>
      <c r="I79" s="111">
        <v>5</v>
      </c>
      <c r="J79" s="111"/>
      <c r="K79" s="111">
        <v>5</v>
      </c>
      <c r="L79" s="111"/>
      <c r="M79" s="110">
        <v>584</v>
      </c>
      <c r="N79" s="110">
        <v>1122.5</v>
      </c>
      <c r="O79" s="110">
        <v>1925</v>
      </c>
      <c r="P79" s="110">
        <v>3432</v>
      </c>
      <c r="Q79" s="110"/>
      <c r="R79" s="110">
        <v>5095</v>
      </c>
    </row>
    <row r="80" spans="1:18" ht="15">
      <c r="A80" s="108">
        <f t="shared" si="4"/>
        <v>30</v>
      </c>
      <c r="B80" s="109" t="s">
        <v>51</v>
      </c>
      <c r="C80" s="108">
        <v>55</v>
      </c>
      <c r="D80" s="108"/>
      <c r="E80" s="108"/>
      <c r="F80" s="113">
        <v>15521.4</v>
      </c>
      <c r="G80" s="111">
        <v>8</v>
      </c>
      <c r="H80" s="111">
        <v>9</v>
      </c>
      <c r="I80" s="111">
        <v>8</v>
      </c>
      <c r="J80" s="111"/>
      <c r="K80" s="111">
        <v>8</v>
      </c>
      <c r="L80" s="111"/>
      <c r="M80" s="110">
        <v>730.1</v>
      </c>
      <c r="N80" s="110">
        <v>1395.6</v>
      </c>
      <c r="O80" s="110">
        <v>3816.6</v>
      </c>
      <c r="P80" s="110">
        <v>4192</v>
      </c>
      <c r="Q80" s="110"/>
      <c r="R80" s="110">
        <v>2172</v>
      </c>
    </row>
    <row r="81" spans="1:18" ht="15">
      <c r="A81" s="104">
        <f t="shared" si="4"/>
        <v>31</v>
      </c>
      <c r="B81" s="105" t="s">
        <v>51</v>
      </c>
      <c r="C81" s="104">
        <v>59</v>
      </c>
      <c r="D81" s="104"/>
      <c r="E81" s="104"/>
      <c r="F81" s="137">
        <v>3645.6</v>
      </c>
      <c r="G81" s="107">
        <v>1</v>
      </c>
      <c r="H81" s="107">
        <v>8</v>
      </c>
      <c r="I81" s="107">
        <v>1</v>
      </c>
      <c r="J81" s="107"/>
      <c r="K81" s="107">
        <v>1</v>
      </c>
      <c r="L81" s="107"/>
      <c r="M81" s="106">
        <v>807.7</v>
      </c>
      <c r="N81" s="106">
        <v>314</v>
      </c>
      <c r="O81" s="106">
        <v>1058.4</v>
      </c>
      <c r="P81" s="106">
        <v>2144</v>
      </c>
      <c r="Q81" s="106"/>
      <c r="R81" s="106">
        <v>934</v>
      </c>
    </row>
    <row r="82" spans="1:18" ht="15">
      <c r="A82" s="95">
        <f>A81+1</f>
        <v>32</v>
      </c>
      <c r="B82" s="96" t="s">
        <v>51</v>
      </c>
      <c r="C82" s="95">
        <v>59</v>
      </c>
      <c r="D82" s="95" t="s">
        <v>41</v>
      </c>
      <c r="E82" s="95"/>
      <c r="F82" s="97">
        <v>3665.1</v>
      </c>
      <c r="G82" s="98">
        <v>1</v>
      </c>
      <c r="H82" s="98">
        <v>8</v>
      </c>
      <c r="I82" s="98">
        <v>1</v>
      </c>
      <c r="J82" s="98"/>
      <c r="K82" s="98">
        <v>1</v>
      </c>
      <c r="L82" s="98"/>
      <c r="M82" s="99">
        <v>773.8</v>
      </c>
      <c r="N82" s="99">
        <v>321.5</v>
      </c>
      <c r="O82" s="99">
        <v>2756.4</v>
      </c>
      <c r="P82" s="99">
        <v>2138</v>
      </c>
      <c r="Q82" s="99"/>
      <c r="R82" s="99">
        <v>1410</v>
      </c>
    </row>
    <row r="83" spans="1:18" ht="15">
      <c r="A83" s="108">
        <f>A82+1</f>
        <v>33</v>
      </c>
      <c r="B83" s="109" t="s">
        <v>51</v>
      </c>
      <c r="C83" s="108">
        <v>61</v>
      </c>
      <c r="D83" s="108" t="s">
        <v>41</v>
      </c>
      <c r="E83" s="108"/>
      <c r="F83" s="113">
        <v>5786.2</v>
      </c>
      <c r="G83" s="111">
        <v>1</v>
      </c>
      <c r="H83" s="111">
        <v>16</v>
      </c>
      <c r="I83" s="111">
        <v>1</v>
      </c>
      <c r="J83" s="111"/>
      <c r="K83" s="111">
        <v>2</v>
      </c>
      <c r="L83" s="111"/>
      <c r="M83" s="110">
        <v>934.6</v>
      </c>
      <c r="N83" s="110">
        <v>451.3</v>
      </c>
      <c r="O83" s="110">
        <v>647</v>
      </c>
      <c r="P83" s="110">
        <v>1487</v>
      </c>
      <c r="Q83" s="110"/>
      <c r="R83" s="110">
        <v>0</v>
      </c>
    </row>
    <row r="84" spans="1:18" ht="15">
      <c r="A84" s="108">
        <f t="shared" si="4"/>
        <v>34</v>
      </c>
      <c r="B84" s="109" t="s">
        <v>51</v>
      </c>
      <c r="C84" s="108">
        <v>61</v>
      </c>
      <c r="D84" s="108"/>
      <c r="E84" s="108"/>
      <c r="F84" s="113">
        <v>11661.13</v>
      </c>
      <c r="G84" s="111">
        <v>6</v>
      </c>
      <c r="H84" s="111">
        <v>9</v>
      </c>
      <c r="I84" s="111">
        <v>6</v>
      </c>
      <c r="J84" s="111"/>
      <c r="K84" s="111">
        <v>6</v>
      </c>
      <c r="L84" s="111"/>
      <c r="M84" s="110">
        <v>616.5</v>
      </c>
      <c r="N84" s="110">
        <v>988.2</v>
      </c>
      <c r="O84" s="110">
        <v>3248</v>
      </c>
      <c r="P84" s="110">
        <v>1935</v>
      </c>
      <c r="Q84" s="110"/>
      <c r="R84" s="110">
        <v>952</v>
      </c>
    </row>
    <row r="85" spans="1:18" ht="15">
      <c r="A85" s="108">
        <f t="shared" si="4"/>
        <v>35</v>
      </c>
      <c r="B85" s="109" t="s">
        <v>51</v>
      </c>
      <c r="C85" s="108">
        <v>63</v>
      </c>
      <c r="D85" s="108"/>
      <c r="E85" s="108"/>
      <c r="F85" s="113">
        <v>9549.5</v>
      </c>
      <c r="G85" s="111">
        <v>5</v>
      </c>
      <c r="H85" s="111">
        <v>9</v>
      </c>
      <c r="I85" s="111">
        <v>5</v>
      </c>
      <c r="J85" s="111"/>
      <c r="K85" s="111">
        <v>5</v>
      </c>
      <c r="L85" s="111"/>
      <c r="M85" s="110">
        <v>525.9</v>
      </c>
      <c r="N85" s="110">
        <v>866</v>
      </c>
      <c r="O85" s="110">
        <v>2029</v>
      </c>
      <c r="P85" s="110">
        <v>1038</v>
      </c>
      <c r="Q85" s="110"/>
      <c r="R85" s="110">
        <v>960</v>
      </c>
    </row>
    <row r="86" spans="1:18" ht="15">
      <c r="A86" s="108">
        <f>A85+1</f>
        <v>36</v>
      </c>
      <c r="B86" s="109" t="s">
        <v>65</v>
      </c>
      <c r="C86" s="108">
        <v>4</v>
      </c>
      <c r="D86" s="108"/>
      <c r="E86" s="108"/>
      <c r="F86" s="113">
        <v>9544.8</v>
      </c>
      <c r="G86" s="111">
        <v>4</v>
      </c>
      <c r="H86" s="111">
        <v>10</v>
      </c>
      <c r="I86" s="111">
        <v>4</v>
      </c>
      <c r="J86" s="111"/>
      <c r="K86" s="111">
        <v>4</v>
      </c>
      <c r="L86" s="111"/>
      <c r="M86" s="110">
        <v>363</v>
      </c>
      <c r="N86" s="110">
        <v>881.3</v>
      </c>
      <c r="O86" s="110">
        <v>1798.7</v>
      </c>
      <c r="P86" s="110">
        <v>4159</v>
      </c>
      <c r="Q86" s="110"/>
      <c r="R86" s="110">
        <v>780</v>
      </c>
    </row>
    <row r="87" spans="1:18" ht="15">
      <c r="A87" s="108">
        <f t="shared" si="4"/>
        <v>37</v>
      </c>
      <c r="B87" s="109" t="s">
        <v>65</v>
      </c>
      <c r="C87" s="108">
        <v>6</v>
      </c>
      <c r="D87" s="108"/>
      <c r="E87" s="108">
        <v>1.2</v>
      </c>
      <c r="F87" s="113">
        <v>5265.3</v>
      </c>
      <c r="G87" s="111">
        <v>2</v>
      </c>
      <c r="H87" s="111">
        <v>9</v>
      </c>
      <c r="I87" s="111">
        <v>2</v>
      </c>
      <c r="J87" s="111"/>
      <c r="K87" s="111">
        <v>2</v>
      </c>
      <c r="L87" s="111"/>
      <c r="M87" s="110">
        <v>108.3</v>
      </c>
      <c r="N87" s="110">
        <v>471.7</v>
      </c>
      <c r="O87" s="110">
        <v>884.5</v>
      </c>
      <c r="P87" s="110">
        <v>1027</v>
      </c>
      <c r="Q87" s="110"/>
      <c r="R87" s="110">
        <v>420</v>
      </c>
    </row>
    <row r="88" spans="1:18" ht="15">
      <c r="A88" s="115">
        <f t="shared" si="4"/>
        <v>38</v>
      </c>
      <c r="B88" s="114" t="s">
        <v>65</v>
      </c>
      <c r="C88" s="115">
        <v>11</v>
      </c>
      <c r="D88" s="115"/>
      <c r="E88" s="115"/>
      <c r="F88" s="116">
        <v>6890.7</v>
      </c>
      <c r="G88" s="117">
        <v>4</v>
      </c>
      <c r="H88" s="117">
        <v>9</v>
      </c>
      <c r="I88" s="117">
        <v>4</v>
      </c>
      <c r="J88" s="117"/>
      <c r="K88" s="117">
        <v>4</v>
      </c>
      <c r="L88" s="117"/>
      <c r="M88" s="118">
        <v>0</v>
      </c>
      <c r="N88" s="118">
        <v>990</v>
      </c>
      <c r="O88" s="118">
        <v>1982.3</v>
      </c>
      <c r="P88" s="118">
        <v>4594.2</v>
      </c>
      <c r="Q88" s="118"/>
      <c r="R88" s="118">
        <v>910.8</v>
      </c>
    </row>
    <row r="89" spans="1:18" ht="15">
      <c r="A89" s="149">
        <f>A88+1</f>
        <v>39</v>
      </c>
      <c r="B89" s="150" t="s">
        <v>122</v>
      </c>
      <c r="C89" s="149">
        <v>44</v>
      </c>
      <c r="D89" s="151"/>
      <c r="E89" s="151"/>
      <c r="F89" s="156">
        <v>3347.6</v>
      </c>
      <c r="G89" s="153">
        <v>1</v>
      </c>
      <c r="H89" s="153">
        <v>12</v>
      </c>
      <c r="I89" s="153">
        <v>1</v>
      </c>
      <c r="J89" s="154"/>
      <c r="K89" s="153">
        <v>2</v>
      </c>
      <c r="L89" s="154"/>
      <c r="M89" s="152">
        <v>448.7</v>
      </c>
      <c r="N89" s="152">
        <v>200.1</v>
      </c>
      <c r="O89" s="152">
        <v>1019.8</v>
      </c>
      <c r="P89" s="155">
        <v>0</v>
      </c>
      <c r="Q89" s="155"/>
      <c r="R89" s="152">
        <v>322.5</v>
      </c>
    </row>
    <row r="90" spans="1:18" ht="15">
      <c r="A90" s="153">
        <f>A89+1</f>
        <v>40</v>
      </c>
      <c r="B90" s="150" t="s">
        <v>65</v>
      </c>
      <c r="C90" s="149" t="s">
        <v>123</v>
      </c>
      <c r="D90" s="151"/>
      <c r="E90" s="151"/>
      <c r="F90" s="156">
        <v>7385.42</v>
      </c>
      <c r="G90" s="153">
        <v>2</v>
      </c>
      <c r="H90" s="153">
        <v>10</v>
      </c>
      <c r="I90" s="153">
        <v>2</v>
      </c>
      <c r="J90" s="154"/>
      <c r="K90" s="153">
        <v>2</v>
      </c>
      <c r="L90" s="154"/>
      <c r="M90" s="152">
        <v>588.5</v>
      </c>
      <c r="N90" s="152">
        <v>464.7</v>
      </c>
      <c r="O90" s="152">
        <v>15.9</v>
      </c>
      <c r="P90" s="155">
        <v>0</v>
      </c>
      <c r="Q90" s="155"/>
      <c r="R90" s="152">
        <v>0</v>
      </c>
    </row>
    <row r="91" spans="1:18" ht="15">
      <c r="A91" s="153">
        <f>A90+1</f>
        <v>41</v>
      </c>
      <c r="B91" s="150" t="s">
        <v>65</v>
      </c>
      <c r="C91" s="149" t="s">
        <v>124</v>
      </c>
      <c r="D91" s="151"/>
      <c r="E91" s="151"/>
      <c r="F91" s="156">
        <v>15034.2</v>
      </c>
      <c r="G91" s="153">
        <v>5</v>
      </c>
      <c r="H91" s="157" t="s">
        <v>125</v>
      </c>
      <c r="I91" s="153">
        <v>5</v>
      </c>
      <c r="J91" s="154"/>
      <c r="K91" s="153">
        <v>6</v>
      </c>
      <c r="L91" s="154"/>
      <c r="M91" s="152">
        <v>1666.3</v>
      </c>
      <c r="N91" s="152">
        <v>1495.2</v>
      </c>
      <c r="O91" s="152">
        <v>3822.2</v>
      </c>
      <c r="P91" s="155">
        <v>1543</v>
      </c>
      <c r="Q91" s="155"/>
      <c r="R91" s="152">
        <v>1468.1</v>
      </c>
    </row>
    <row r="92" spans="1:18" ht="14.25">
      <c r="A92" s="133">
        <f>A91</f>
        <v>41</v>
      </c>
      <c r="B92" s="158" t="s">
        <v>126</v>
      </c>
      <c r="C92" s="134"/>
      <c r="D92" s="134"/>
      <c r="E92" s="134"/>
      <c r="F92" s="159">
        <f>SUM(F51:F91)</f>
        <v>313734.43999999994</v>
      </c>
      <c r="G92" s="160">
        <f>SUM(G51:G91)</f>
        <v>147</v>
      </c>
      <c r="H92" s="160">
        <f aca="true" t="shared" si="5" ref="H92:R92">SUM(H51:H91)</f>
        <v>380</v>
      </c>
      <c r="I92" s="160">
        <f t="shared" si="5"/>
        <v>147</v>
      </c>
      <c r="J92" s="160">
        <f t="shared" si="5"/>
        <v>0</v>
      </c>
      <c r="K92" s="160">
        <f t="shared" si="5"/>
        <v>152</v>
      </c>
      <c r="L92" s="160">
        <f t="shared" si="5"/>
        <v>0</v>
      </c>
      <c r="M92" s="159">
        <f t="shared" si="5"/>
        <v>19407.7</v>
      </c>
      <c r="N92" s="159">
        <f t="shared" si="5"/>
        <v>30830.299999999996</v>
      </c>
      <c r="O92" s="160">
        <f t="shared" si="5"/>
        <v>76489.23999999999</v>
      </c>
      <c r="P92" s="160">
        <f t="shared" si="5"/>
        <v>105870.18000000001</v>
      </c>
      <c r="Q92" s="160">
        <f t="shared" si="5"/>
        <v>0</v>
      </c>
      <c r="R92" s="160">
        <f t="shared" si="5"/>
        <v>41378.700000000004</v>
      </c>
    </row>
    <row r="93" spans="1:18" ht="14.25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1:18" ht="15">
      <c r="A94" s="108">
        <v>1</v>
      </c>
      <c r="B94" s="109" t="s">
        <v>67</v>
      </c>
      <c r="C94" s="108">
        <v>5</v>
      </c>
      <c r="D94" s="108"/>
      <c r="E94" s="108"/>
      <c r="F94" s="113">
        <v>20057.59</v>
      </c>
      <c r="G94" s="111">
        <v>10</v>
      </c>
      <c r="H94" s="111">
        <v>9</v>
      </c>
      <c r="I94" s="111">
        <v>10</v>
      </c>
      <c r="J94" s="111"/>
      <c r="K94" s="111">
        <v>10</v>
      </c>
      <c r="L94" s="111"/>
      <c r="M94" s="110">
        <v>542</v>
      </c>
      <c r="N94" s="110">
        <v>2424.2</v>
      </c>
      <c r="O94" s="110">
        <v>3532</v>
      </c>
      <c r="P94" s="110">
        <v>4212.4</v>
      </c>
      <c r="Q94" s="110"/>
      <c r="R94" s="110">
        <v>1191.6</v>
      </c>
    </row>
    <row r="95" spans="1:18" ht="15">
      <c r="A95" s="108">
        <f aca="true" t="shared" si="6" ref="A95:A115">A94+1</f>
        <v>2</v>
      </c>
      <c r="B95" s="109" t="s">
        <v>37</v>
      </c>
      <c r="C95" s="108">
        <v>127</v>
      </c>
      <c r="D95" s="108"/>
      <c r="E95" s="108"/>
      <c r="F95" s="113">
        <v>4264.8</v>
      </c>
      <c r="G95" s="111">
        <v>2</v>
      </c>
      <c r="H95" s="111">
        <v>10</v>
      </c>
      <c r="I95" s="111">
        <v>2</v>
      </c>
      <c r="J95" s="111"/>
      <c r="K95" s="111">
        <v>2</v>
      </c>
      <c r="L95" s="111"/>
      <c r="M95" s="110">
        <v>137.5</v>
      </c>
      <c r="N95" s="110">
        <v>551.4</v>
      </c>
      <c r="O95" s="110">
        <v>820</v>
      </c>
      <c r="P95" s="110">
        <v>285.1</v>
      </c>
      <c r="Q95" s="110"/>
      <c r="R95" s="110">
        <v>304.3</v>
      </c>
    </row>
    <row r="96" spans="1:18" ht="15">
      <c r="A96" s="108">
        <f t="shared" si="6"/>
        <v>3</v>
      </c>
      <c r="B96" s="109" t="s">
        <v>37</v>
      </c>
      <c r="C96" s="108">
        <v>131</v>
      </c>
      <c r="D96" s="108"/>
      <c r="E96" s="108"/>
      <c r="F96" s="113">
        <v>3501</v>
      </c>
      <c r="G96" s="111">
        <v>1</v>
      </c>
      <c r="H96" s="111">
        <v>12</v>
      </c>
      <c r="I96" s="111">
        <v>1</v>
      </c>
      <c r="J96" s="111"/>
      <c r="K96" s="111">
        <v>2</v>
      </c>
      <c r="L96" s="111"/>
      <c r="M96" s="110">
        <v>587.5</v>
      </c>
      <c r="N96" s="110">
        <v>187.2</v>
      </c>
      <c r="O96" s="110">
        <v>1370</v>
      </c>
      <c r="P96" s="110">
        <v>1723.3</v>
      </c>
      <c r="Q96" s="110"/>
      <c r="R96" s="110">
        <v>399.8</v>
      </c>
    </row>
    <row r="97" spans="1:18" ht="15">
      <c r="A97" s="161">
        <f t="shared" si="6"/>
        <v>4</v>
      </c>
      <c r="B97" s="162" t="s">
        <v>37</v>
      </c>
      <c r="C97" s="161">
        <v>127</v>
      </c>
      <c r="D97" s="161" t="s">
        <v>41</v>
      </c>
      <c r="E97" s="161"/>
      <c r="F97" s="163">
        <v>26145.39</v>
      </c>
      <c r="G97" s="164">
        <v>12</v>
      </c>
      <c r="H97" s="164">
        <v>10</v>
      </c>
      <c r="I97" s="164">
        <v>12</v>
      </c>
      <c r="J97" s="164"/>
      <c r="K97" s="164">
        <v>12</v>
      </c>
      <c r="L97" s="164"/>
      <c r="M97" s="165">
        <v>694.9</v>
      </c>
      <c r="N97" s="165">
        <v>3260.4</v>
      </c>
      <c r="O97" s="165">
        <v>4419.5</v>
      </c>
      <c r="P97" s="165">
        <v>3039.5</v>
      </c>
      <c r="Q97" s="165"/>
      <c r="R97" s="165">
        <v>5728.1</v>
      </c>
    </row>
    <row r="98" spans="1:18" ht="15">
      <c r="A98" s="161">
        <f t="shared" si="6"/>
        <v>5</v>
      </c>
      <c r="B98" s="162" t="s">
        <v>72</v>
      </c>
      <c r="C98" s="161">
        <v>6</v>
      </c>
      <c r="D98" s="161"/>
      <c r="E98" s="161"/>
      <c r="F98" s="163">
        <v>11787.9</v>
      </c>
      <c r="G98" s="164">
        <v>6</v>
      </c>
      <c r="H98" s="164">
        <v>9</v>
      </c>
      <c r="I98" s="164">
        <v>6</v>
      </c>
      <c r="J98" s="164"/>
      <c r="K98" s="164">
        <v>6</v>
      </c>
      <c r="L98" s="164"/>
      <c r="M98" s="165">
        <v>403.6</v>
      </c>
      <c r="N98" s="165">
        <v>1257.6</v>
      </c>
      <c r="O98" s="165">
        <v>1719.5</v>
      </c>
      <c r="P98" s="165">
        <v>2673.4</v>
      </c>
      <c r="Q98" s="165"/>
      <c r="R98" s="165">
        <v>2070.8</v>
      </c>
    </row>
    <row r="99" spans="1:18" ht="15">
      <c r="A99" s="161">
        <f t="shared" si="6"/>
        <v>6</v>
      </c>
      <c r="B99" s="162" t="s">
        <v>51</v>
      </c>
      <c r="C99" s="161">
        <v>13</v>
      </c>
      <c r="D99" s="161" t="s">
        <v>40</v>
      </c>
      <c r="E99" s="161"/>
      <c r="F99" s="163">
        <v>9037.2</v>
      </c>
      <c r="G99" s="164">
        <v>4</v>
      </c>
      <c r="H99" s="164">
        <v>10</v>
      </c>
      <c r="I99" s="164">
        <v>4</v>
      </c>
      <c r="J99" s="164"/>
      <c r="K99" s="164">
        <v>4</v>
      </c>
      <c r="L99" s="164"/>
      <c r="M99" s="165">
        <v>253</v>
      </c>
      <c r="N99" s="165">
        <v>509.6</v>
      </c>
      <c r="O99" s="165">
        <v>3286</v>
      </c>
      <c r="P99" s="165">
        <v>600</v>
      </c>
      <c r="Q99" s="165"/>
      <c r="R99" s="165">
        <v>1131.4</v>
      </c>
    </row>
    <row r="100" spans="1:18" ht="15">
      <c r="A100" s="124">
        <f t="shared" si="6"/>
        <v>7</v>
      </c>
      <c r="B100" s="125" t="s">
        <v>51</v>
      </c>
      <c r="C100" s="124">
        <v>17</v>
      </c>
      <c r="D100" s="124" t="s">
        <v>41</v>
      </c>
      <c r="E100" s="124"/>
      <c r="F100" s="138">
        <v>10283.41</v>
      </c>
      <c r="G100" s="127">
        <v>5</v>
      </c>
      <c r="H100" s="127">
        <v>9</v>
      </c>
      <c r="I100" s="127">
        <v>5</v>
      </c>
      <c r="J100" s="127"/>
      <c r="K100" s="127">
        <v>5</v>
      </c>
      <c r="L100" s="127"/>
      <c r="M100" s="126">
        <v>284.4</v>
      </c>
      <c r="N100" s="126">
        <v>737.1</v>
      </c>
      <c r="O100" s="126">
        <v>0</v>
      </c>
      <c r="P100" s="126">
        <v>0</v>
      </c>
      <c r="Q100" s="126"/>
      <c r="R100" s="126">
        <v>0</v>
      </c>
    </row>
    <row r="101" spans="1:18" ht="15">
      <c r="A101" s="124">
        <f t="shared" si="6"/>
        <v>8</v>
      </c>
      <c r="B101" s="125" t="s">
        <v>51</v>
      </c>
      <c r="C101" s="124">
        <v>19</v>
      </c>
      <c r="D101" s="124"/>
      <c r="E101" s="124"/>
      <c r="F101" s="138">
        <v>5290.4</v>
      </c>
      <c r="G101" s="127">
        <v>1</v>
      </c>
      <c r="H101" s="127">
        <v>16</v>
      </c>
      <c r="I101" s="127">
        <v>1</v>
      </c>
      <c r="J101" s="127"/>
      <c r="K101" s="127">
        <v>2</v>
      </c>
      <c r="L101" s="127"/>
      <c r="M101" s="126">
        <v>622.4</v>
      </c>
      <c r="N101" s="126">
        <v>227</v>
      </c>
      <c r="O101" s="126">
        <v>824</v>
      </c>
      <c r="P101" s="126">
        <v>927.8</v>
      </c>
      <c r="Q101" s="126"/>
      <c r="R101" s="126">
        <v>431.2</v>
      </c>
    </row>
    <row r="102" spans="1:18" ht="15">
      <c r="A102" s="139">
        <f t="shared" si="6"/>
        <v>9</v>
      </c>
      <c r="B102" s="140" t="s">
        <v>37</v>
      </c>
      <c r="C102" s="139">
        <v>129</v>
      </c>
      <c r="D102" s="139"/>
      <c r="E102" s="139"/>
      <c r="F102" s="190">
        <v>19425.4</v>
      </c>
      <c r="G102" s="142">
        <v>10</v>
      </c>
      <c r="H102" s="142">
        <v>9</v>
      </c>
      <c r="I102" s="142">
        <v>10</v>
      </c>
      <c r="J102" s="142"/>
      <c r="K102" s="142">
        <v>10</v>
      </c>
      <c r="L102" s="142"/>
      <c r="M102" s="141">
        <v>533.6</v>
      </c>
      <c r="N102" s="141">
        <v>2352.7</v>
      </c>
      <c r="O102" s="141">
        <v>3753</v>
      </c>
      <c r="P102" s="141">
        <v>4196.2</v>
      </c>
      <c r="Q102" s="141"/>
      <c r="R102" s="141">
        <v>6786.2</v>
      </c>
    </row>
    <row r="103" spans="1:18" ht="15">
      <c r="A103" s="139">
        <f t="shared" si="6"/>
        <v>10</v>
      </c>
      <c r="B103" s="140" t="s">
        <v>51</v>
      </c>
      <c r="C103" s="139">
        <v>23</v>
      </c>
      <c r="D103" s="139"/>
      <c r="E103" s="139"/>
      <c r="F103" s="190">
        <v>3700.3</v>
      </c>
      <c r="G103" s="142">
        <v>1</v>
      </c>
      <c r="H103" s="142">
        <v>12</v>
      </c>
      <c r="I103" s="142">
        <v>1</v>
      </c>
      <c r="J103" s="142"/>
      <c r="K103" s="142">
        <v>2</v>
      </c>
      <c r="L103" s="142"/>
      <c r="M103" s="141">
        <v>570.7</v>
      </c>
      <c r="N103" s="141">
        <v>204</v>
      </c>
      <c r="O103" s="141">
        <v>1215.4</v>
      </c>
      <c r="P103" s="141">
        <v>2457</v>
      </c>
      <c r="Q103" s="141"/>
      <c r="R103" s="141">
        <v>0</v>
      </c>
    </row>
    <row r="104" spans="1:18" ht="15">
      <c r="A104" s="166">
        <f t="shared" si="6"/>
        <v>11</v>
      </c>
      <c r="B104" s="167" t="s">
        <v>51</v>
      </c>
      <c r="C104" s="166">
        <v>25</v>
      </c>
      <c r="D104" s="166"/>
      <c r="E104" s="166"/>
      <c r="F104" s="170">
        <v>9574.5</v>
      </c>
      <c r="G104" s="169">
        <v>5</v>
      </c>
      <c r="H104" s="169">
        <v>9</v>
      </c>
      <c r="I104" s="169">
        <v>5</v>
      </c>
      <c r="J104" s="169"/>
      <c r="K104" s="169">
        <v>5</v>
      </c>
      <c r="L104" s="169"/>
      <c r="M104" s="168">
        <v>427.6</v>
      </c>
      <c r="N104" s="168">
        <v>718.9</v>
      </c>
      <c r="O104" s="168">
        <v>2678.1</v>
      </c>
      <c r="P104" s="168">
        <v>3169</v>
      </c>
      <c r="Q104" s="168"/>
      <c r="R104" s="168">
        <v>3340</v>
      </c>
    </row>
    <row r="105" spans="1:18" ht="15">
      <c r="A105" s="166">
        <f t="shared" si="6"/>
        <v>12</v>
      </c>
      <c r="B105" s="167" t="s">
        <v>51</v>
      </c>
      <c r="C105" s="166">
        <v>13</v>
      </c>
      <c r="D105" s="166" t="s">
        <v>41</v>
      </c>
      <c r="E105" s="166"/>
      <c r="F105" s="170">
        <v>9893.41</v>
      </c>
      <c r="G105" s="169">
        <v>5</v>
      </c>
      <c r="H105" s="169">
        <v>9</v>
      </c>
      <c r="I105" s="169">
        <v>5</v>
      </c>
      <c r="J105" s="169"/>
      <c r="K105" s="169">
        <v>5</v>
      </c>
      <c r="L105" s="169"/>
      <c r="M105" s="168">
        <v>512.9</v>
      </c>
      <c r="N105" s="168">
        <v>719</v>
      </c>
      <c r="O105" s="168">
        <v>1341.5</v>
      </c>
      <c r="P105" s="168">
        <v>2595</v>
      </c>
      <c r="Q105" s="168"/>
      <c r="R105" s="168">
        <v>1500</v>
      </c>
    </row>
    <row r="106" spans="1:18" ht="15">
      <c r="A106" s="166">
        <f t="shared" si="6"/>
        <v>13</v>
      </c>
      <c r="B106" s="167" t="s">
        <v>51</v>
      </c>
      <c r="C106" s="166">
        <v>13</v>
      </c>
      <c r="D106" s="166" t="s">
        <v>73</v>
      </c>
      <c r="E106" s="166"/>
      <c r="F106" s="170">
        <v>2449.4</v>
      </c>
      <c r="G106" s="169">
        <v>1</v>
      </c>
      <c r="H106" s="169">
        <v>10</v>
      </c>
      <c r="I106" s="169">
        <v>1</v>
      </c>
      <c r="J106" s="169"/>
      <c r="K106" s="169">
        <v>1</v>
      </c>
      <c r="L106" s="169"/>
      <c r="M106" s="168">
        <v>63.4</v>
      </c>
      <c r="N106" s="168">
        <v>136.5</v>
      </c>
      <c r="O106" s="168">
        <v>538</v>
      </c>
      <c r="P106" s="168">
        <v>523</v>
      </c>
      <c r="Q106" s="168"/>
      <c r="R106" s="168">
        <v>83</v>
      </c>
    </row>
    <row r="107" spans="1:18" ht="15">
      <c r="A107" s="166">
        <f t="shared" si="6"/>
        <v>14</v>
      </c>
      <c r="B107" s="167" t="s">
        <v>51</v>
      </c>
      <c r="C107" s="166">
        <v>13</v>
      </c>
      <c r="D107" s="166"/>
      <c r="E107" s="166"/>
      <c r="F107" s="170">
        <v>5732.3</v>
      </c>
      <c r="G107" s="169">
        <v>3</v>
      </c>
      <c r="H107" s="169">
        <v>9</v>
      </c>
      <c r="I107" s="169">
        <v>3</v>
      </c>
      <c r="J107" s="169"/>
      <c r="K107" s="169">
        <v>3</v>
      </c>
      <c r="L107" s="169"/>
      <c r="M107" s="168">
        <v>353.2</v>
      </c>
      <c r="N107" s="168">
        <v>324.5</v>
      </c>
      <c r="O107" s="168">
        <v>1103.3</v>
      </c>
      <c r="P107" s="168">
        <v>1945</v>
      </c>
      <c r="Q107" s="168"/>
      <c r="R107" s="168">
        <v>916</v>
      </c>
    </row>
    <row r="108" spans="1:18" ht="15">
      <c r="A108" s="171">
        <f t="shared" si="6"/>
        <v>15</v>
      </c>
      <c r="B108" s="172" t="s">
        <v>67</v>
      </c>
      <c r="C108" s="171">
        <v>9</v>
      </c>
      <c r="D108" s="171"/>
      <c r="E108" s="171"/>
      <c r="F108" s="175">
        <v>3641.8</v>
      </c>
      <c r="G108" s="174">
        <v>1</v>
      </c>
      <c r="H108" s="174">
        <v>12</v>
      </c>
      <c r="I108" s="174">
        <v>1</v>
      </c>
      <c r="J108" s="174"/>
      <c r="K108" s="174">
        <v>2</v>
      </c>
      <c r="L108" s="174"/>
      <c r="M108" s="173">
        <v>542.1</v>
      </c>
      <c r="N108" s="173">
        <v>210</v>
      </c>
      <c r="O108" s="173">
        <v>1097.2</v>
      </c>
      <c r="P108" s="173">
        <v>569.2</v>
      </c>
      <c r="Q108" s="173"/>
      <c r="R108" s="173">
        <v>255</v>
      </c>
    </row>
    <row r="109" spans="1:18" ht="15">
      <c r="A109" s="171">
        <f t="shared" si="6"/>
        <v>16</v>
      </c>
      <c r="B109" s="172" t="s">
        <v>72</v>
      </c>
      <c r="C109" s="171">
        <v>2</v>
      </c>
      <c r="D109" s="171"/>
      <c r="E109" s="171"/>
      <c r="F109" s="175">
        <v>19898.1</v>
      </c>
      <c r="G109" s="174">
        <v>10</v>
      </c>
      <c r="H109" s="174">
        <v>9</v>
      </c>
      <c r="I109" s="174">
        <v>10</v>
      </c>
      <c r="J109" s="174"/>
      <c r="K109" s="174">
        <v>10</v>
      </c>
      <c r="L109" s="174"/>
      <c r="M109" s="173">
        <v>630.3</v>
      </c>
      <c r="N109" s="173">
        <v>1810</v>
      </c>
      <c r="O109" s="173">
        <v>4793.1</v>
      </c>
      <c r="P109" s="173">
        <v>4120.3</v>
      </c>
      <c r="Q109" s="173"/>
      <c r="R109" s="173">
        <v>5007.6</v>
      </c>
    </row>
    <row r="110" spans="1:18" ht="15">
      <c r="A110" s="171">
        <f t="shared" si="6"/>
        <v>17</v>
      </c>
      <c r="B110" s="172" t="s">
        <v>51</v>
      </c>
      <c r="C110" s="171">
        <v>25</v>
      </c>
      <c r="D110" s="171" t="s">
        <v>41</v>
      </c>
      <c r="E110" s="171"/>
      <c r="F110" s="175">
        <v>1933.26</v>
      </c>
      <c r="G110" s="174">
        <v>1</v>
      </c>
      <c r="H110" s="174">
        <v>9</v>
      </c>
      <c r="I110" s="174">
        <v>1</v>
      </c>
      <c r="J110" s="174"/>
      <c r="K110" s="174">
        <v>1</v>
      </c>
      <c r="L110" s="174"/>
      <c r="M110" s="173">
        <v>80.9</v>
      </c>
      <c r="N110" s="173">
        <v>143.8</v>
      </c>
      <c r="O110" s="173">
        <v>0</v>
      </c>
      <c r="P110" s="173">
        <v>0</v>
      </c>
      <c r="Q110" s="173"/>
      <c r="R110" s="173">
        <v>0</v>
      </c>
    </row>
    <row r="111" spans="1:18" ht="15">
      <c r="A111" s="128">
        <f t="shared" si="6"/>
        <v>18</v>
      </c>
      <c r="B111" s="129" t="s">
        <v>51</v>
      </c>
      <c r="C111" s="128">
        <v>17</v>
      </c>
      <c r="D111" s="128"/>
      <c r="E111" s="128"/>
      <c r="F111" s="130">
        <v>9770</v>
      </c>
      <c r="G111" s="131">
        <v>5</v>
      </c>
      <c r="H111" s="131">
        <v>9</v>
      </c>
      <c r="I111" s="131">
        <v>5</v>
      </c>
      <c r="J111" s="131"/>
      <c r="K111" s="131">
        <v>5</v>
      </c>
      <c r="L111" s="131"/>
      <c r="M111" s="132">
        <v>283.5</v>
      </c>
      <c r="N111" s="132">
        <v>718.9</v>
      </c>
      <c r="O111" s="132">
        <v>3192.4</v>
      </c>
      <c r="P111" s="132">
        <v>1198</v>
      </c>
      <c r="Q111" s="132"/>
      <c r="R111" s="132">
        <v>4078</v>
      </c>
    </row>
    <row r="112" spans="1:18" ht="15">
      <c r="A112" s="176">
        <f t="shared" si="6"/>
        <v>19</v>
      </c>
      <c r="B112" s="177" t="s">
        <v>37</v>
      </c>
      <c r="C112" s="176">
        <v>135</v>
      </c>
      <c r="D112" s="176"/>
      <c r="E112" s="176"/>
      <c r="F112" s="191">
        <v>23848</v>
      </c>
      <c r="G112" s="179">
        <v>12</v>
      </c>
      <c r="H112" s="179">
        <v>9</v>
      </c>
      <c r="I112" s="179">
        <v>12</v>
      </c>
      <c r="J112" s="179"/>
      <c r="K112" s="179">
        <v>12</v>
      </c>
      <c r="L112" s="179"/>
      <c r="M112" s="178">
        <v>508</v>
      </c>
      <c r="N112" s="178">
        <v>2974.8</v>
      </c>
      <c r="O112" s="178">
        <v>5932.5</v>
      </c>
      <c r="P112" s="178">
        <v>11348.3</v>
      </c>
      <c r="Q112" s="178"/>
      <c r="R112" s="178">
        <v>3820.7</v>
      </c>
    </row>
    <row r="113" spans="1:18" ht="15">
      <c r="A113" s="108">
        <f t="shared" si="6"/>
        <v>20</v>
      </c>
      <c r="B113" s="109" t="s">
        <v>51</v>
      </c>
      <c r="C113" s="108">
        <v>11</v>
      </c>
      <c r="D113" s="108"/>
      <c r="E113" s="108"/>
      <c r="F113" s="113">
        <v>2929.9</v>
      </c>
      <c r="G113" s="111">
        <v>4</v>
      </c>
      <c r="H113" s="111">
        <v>6</v>
      </c>
      <c r="I113" s="111">
        <v>4</v>
      </c>
      <c r="J113" s="111"/>
      <c r="K113" s="111"/>
      <c r="L113" s="111"/>
      <c r="M113" s="110">
        <v>5</v>
      </c>
      <c r="N113" s="110">
        <v>476.7</v>
      </c>
      <c r="O113" s="110">
        <v>1193.5</v>
      </c>
      <c r="P113" s="110">
        <v>914</v>
      </c>
      <c r="Q113" s="110"/>
      <c r="R113" s="110">
        <v>0</v>
      </c>
    </row>
    <row r="114" spans="1:18" ht="15">
      <c r="A114" s="176">
        <f t="shared" si="6"/>
        <v>21</v>
      </c>
      <c r="B114" s="177" t="s">
        <v>65</v>
      </c>
      <c r="C114" s="176">
        <v>14</v>
      </c>
      <c r="D114" s="176"/>
      <c r="E114" s="176"/>
      <c r="F114" s="191">
        <v>1835.8</v>
      </c>
      <c r="G114" s="179">
        <v>1</v>
      </c>
      <c r="H114" s="179">
        <v>5</v>
      </c>
      <c r="I114" s="179">
        <v>1</v>
      </c>
      <c r="J114" s="179"/>
      <c r="K114" s="179"/>
      <c r="L114" s="179"/>
      <c r="M114" s="178">
        <v>122.4</v>
      </c>
      <c r="N114" s="178">
        <v>133</v>
      </c>
      <c r="O114" s="178">
        <v>1357</v>
      </c>
      <c r="P114" s="178">
        <v>2244</v>
      </c>
      <c r="Q114" s="178"/>
      <c r="R114" s="178">
        <v>620</v>
      </c>
    </row>
    <row r="115" spans="1:18" ht="15">
      <c r="A115" s="180">
        <f t="shared" si="6"/>
        <v>22</v>
      </c>
      <c r="B115" s="181" t="s">
        <v>70</v>
      </c>
      <c r="C115" s="180">
        <v>30</v>
      </c>
      <c r="D115" s="180"/>
      <c r="E115" s="180"/>
      <c r="F115" s="229">
        <v>3124.4</v>
      </c>
      <c r="G115" s="183">
        <v>4</v>
      </c>
      <c r="H115" s="183">
        <v>5</v>
      </c>
      <c r="I115" s="183"/>
      <c r="J115" s="183"/>
      <c r="K115" s="183"/>
      <c r="L115" s="183"/>
      <c r="M115" s="182">
        <v>0</v>
      </c>
      <c r="N115" s="182">
        <v>368</v>
      </c>
      <c r="O115" s="182">
        <v>1160.9</v>
      </c>
      <c r="P115" s="182">
        <v>4186</v>
      </c>
      <c r="Q115" s="182"/>
      <c r="R115" s="182">
        <v>525</v>
      </c>
    </row>
    <row r="116" spans="1:18" ht="14.25">
      <c r="A116" s="134">
        <f>A115</f>
        <v>22</v>
      </c>
      <c r="B116" s="158" t="s">
        <v>127</v>
      </c>
      <c r="C116" s="134"/>
      <c r="D116" s="134"/>
      <c r="E116" s="134"/>
      <c r="F116" s="135">
        <f>SUM(F94:F115)</f>
        <v>208124.25999999995</v>
      </c>
      <c r="G116" s="136">
        <f>SUM(G94:G115)</f>
        <v>104</v>
      </c>
      <c r="H116" s="136">
        <f aca="true" t="shared" si="7" ref="H116:R116">SUM(H94:H115)</f>
        <v>207</v>
      </c>
      <c r="I116" s="136">
        <f t="shared" si="7"/>
        <v>100</v>
      </c>
      <c r="J116" s="136">
        <f t="shared" si="7"/>
        <v>0</v>
      </c>
      <c r="K116" s="136">
        <f t="shared" si="7"/>
        <v>99</v>
      </c>
      <c r="L116" s="136">
        <f t="shared" si="7"/>
        <v>0</v>
      </c>
      <c r="M116" s="135">
        <f t="shared" si="7"/>
        <v>8158.9</v>
      </c>
      <c r="N116" s="135">
        <f t="shared" si="7"/>
        <v>20445.3</v>
      </c>
      <c r="O116" s="136">
        <f t="shared" si="7"/>
        <v>45326.9</v>
      </c>
      <c r="P116" s="136">
        <f t="shared" si="7"/>
        <v>52926.5</v>
      </c>
      <c r="Q116" s="136">
        <f t="shared" si="7"/>
        <v>0</v>
      </c>
      <c r="R116" s="136">
        <f t="shared" si="7"/>
        <v>38188.7</v>
      </c>
    </row>
    <row r="117" spans="1:18" ht="15">
      <c r="A117" s="94"/>
      <c r="B117" s="18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1:18" ht="15">
      <c r="A118" s="104">
        <v>1</v>
      </c>
      <c r="B118" s="105" t="s">
        <v>44</v>
      </c>
      <c r="C118" s="104">
        <v>100</v>
      </c>
      <c r="D118" s="104"/>
      <c r="E118" s="104"/>
      <c r="F118" s="137">
        <v>3770.6</v>
      </c>
      <c r="G118" s="107">
        <v>1</v>
      </c>
      <c r="H118" s="107">
        <v>12</v>
      </c>
      <c r="I118" s="107">
        <v>1</v>
      </c>
      <c r="J118" s="107"/>
      <c r="K118" s="107">
        <v>2</v>
      </c>
      <c r="L118" s="107"/>
      <c r="M118" s="106">
        <v>519</v>
      </c>
      <c r="N118" s="106">
        <v>199.7</v>
      </c>
      <c r="O118" s="106">
        <v>1053.5</v>
      </c>
      <c r="P118" s="106">
        <v>1736</v>
      </c>
      <c r="Q118" s="106"/>
      <c r="R118" s="106">
        <v>365</v>
      </c>
    </row>
    <row r="119" spans="1:18" ht="15">
      <c r="A119" s="104">
        <f>A118+1</f>
        <v>2</v>
      </c>
      <c r="B119" s="105" t="s">
        <v>44</v>
      </c>
      <c r="C119" s="104">
        <v>104</v>
      </c>
      <c r="D119" s="104"/>
      <c r="E119" s="104"/>
      <c r="F119" s="137">
        <v>7829.99</v>
      </c>
      <c r="G119" s="107">
        <v>4</v>
      </c>
      <c r="H119" s="107">
        <v>9</v>
      </c>
      <c r="I119" s="107">
        <v>4</v>
      </c>
      <c r="J119" s="107"/>
      <c r="K119" s="107">
        <v>4</v>
      </c>
      <c r="L119" s="107"/>
      <c r="M119" s="106">
        <v>466.8</v>
      </c>
      <c r="N119" s="106">
        <v>759.8</v>
      </c>
      <c r="O119" s="106">
        <v>1082.4</v>
      </c>
      <c r="P119" s="106">
        <v>1673</v>
      </c>
      <c r="Q119" s="106"/>
      <c r="R119" s="106">
        <v>269.5</v>
      </c>
    </row>
    <row r="120" spans="1:18" ht="15">
      <c r="A120" s="100">
        <f>A119+1</f>
        <v>3</v>
      </c>
      <c r="B120" s="101" t="s">
        <v>44</v>
      </c>
      <c r="C120" s="100">
        <v>93</v>
      </c>
      <c r="D120" s="100" t="s">
        <v>41</v>
      </c>
      <c r="E120" s="100"/>
      <c r="F120" s="112">
        <v>6326.3</v>
      </c>
      <c r="G120" s="103">
        <v>1</v>
      </c>
      <c r="H120" s="103">
        <v>9</v>
      </c>
      <c r="I120" s="103">
        <v>1</v>
      </c>
      <c r="J120" s="103"/>
      <c r="K120" s="103">
        <v>2</v>
      </c>
      <c r="L120" s="103"/>
      <c r="M120" s="102">
        <v>1368.1</v>
      </c>
      <c r="N120" s="102">
        <v>421.2</v>
      </c>
      <c r="O120" s="102">
        <v>1966.5</v>
      </c>
      <c r="P120" s="102">
        <v>1126.5</v>
      </c>
      <c r="Q120" s="102"/>
      <c r="R120" s="102">
        <v>400</v>
      </c>
    </row>
    <row r="121" spans="1:18" ht="15">
      <c r="A121" s="104">
        <f>A120+1</f>
        <v>4</v>
      </c>
      <c r="B121" s="105" t="s">
        <v>44</v>
      </c>
      <c r="C121" s="104">
        <v>112</v>
      </c>
      <c r="D121" s="104"/>
      <c r="E121" s="104"/>
      <c r="F121" s="137">
        <v>7788.1</v>
      </c>
      <c r="G121" s="107">
        <v>4</v>
      </c>
      <c r="H121" s="107">
        <v>9</v>
      </c>
      <c r="I121" s="107">
        <v>4</v>
      </c>
      <c r="J121" s="107"/>
      <c r="K121" s="107">
        <v>4</v>
      </c>
      <c r="L121" s="107"/>
      <c r="M121" s="106">
        <v>467.3</v>
      </c>
      <c r="N121" s="106">
        <v>751.4</v>
      </c>
      <c r="O121" s="106">
        <v>1114</v>
      </c>
      <c r="P121" s="106">
        <v>597.5</v>
      </c>
      <c r="Q121" s="106"/>
      <c r="R121" s="106">
        <v>934.5</v>
      </c>
    </row>
    <row r="122" spans="1:18" ht="15">
      <c r="A122" s="108">
        <f>A121+1</f>
        <v>5</v>
      </c>
      <c r="B122" s="109" t="s">
        <v>44</v>
      </c>
      <c r="C122" s="108">
        <v>116</v>
      </c>
      <c r="D122" s="108"/>
      <c r="E122" s="108"/>
      <c r="F122" s="113">
        <v>3692.3</v>
      </c>
      <c r="G122" s="111">
        <v>1</v>
      </c>
      <c r="H122" s="111">
        <v>12</v>
      </c>
      <c r="I122" s="111">
        <v>1</v>
      </c>
      <c r="J122" s="111"/>
      <c r="K122" s="111">
        <v>2</v>
      </c>
      <c r="L122" s="111"/>
      <c r="M122" s="110">
        <v>520.4</v>
      </c>
      <c r="N122" s="110">
        <v>182.5</v>
      </c>
      <c r="O122" s="110">
        <v>842.3</v>
      </c>
      <c r="P122" s="110">
        <v>384</v>
      </c>
      <c r="Q122" s="110"/>
      <c r="R122" s="110">
        <v>798</v>
      </c>
    </row>
    <row r="123" spans="1:18" ht="15">
      <c r="A123" s="108">
        <f>A122+1</f>
        <v>6</v>
      </c>
      <c r="B123" s="109" t="s">
        <v>44</v>
      </c>
      <c r="C123" s="108">
        <v>118</v>
      </c>
      <c r="D123" s="108"/>
      <c r="E123" s="108"/>
      <c r="F123" s="113">
        <v>3697.9</v>
      </c>
      <c r="G123" s="111">
        <v>1</v>
      </c>
      <c r="H123" s="111">
        <v>12</v>
      </c>
      <c r="I123" s="111">
        <v>1</v>
      </c>
      <c r="J123" s="111"/>
      <c r="K123" s="111">
        <v>2</v>
      </c>
      <c r="L123" s="111"/>
      <c r="M123" s="110">
        <v>516</v>
      </c>
      <c r="N123" s="110">
        <v>199.7</v>
      </c>
      <c r="O123" s="110">
        <v>817.6</v>
      </c>
      <c r="P123" s="110">
        <v>880.3</v>
      </c>
      <c r="Q123" s="110"/>
      <c r="R123" s="110">
        <v>864</v>
      </c>
    </row>
    <row r="124" spans="1:18" ht="15">
      <c r="A124" s="100">
        <f aca="true" t="shared" si="8" ref="A124:A139">A123+1</f>
        <v>7</v>
      </c>
      <c r="B124" s="101" t="s">
        <v>44</v>
      </c>
      <c r="C124" s="100">
        <v>126</v>
      </c>
      <c r="D124" s="100"/>
      <c r="E124" s="100"/>
      <c r="F124" s="112">
        <v>4338.21</v>
      </c>
      <c r="G124" s="103">
        <v>1</v>
      </c>
      <c r="H124" s="103">
        <v>14</v>
      </c>
      <c r="I124" s="103">
        <v>1</v>
      </c>
      <c r="J124" s="103"/>
      <c r="K124" s="103">
        <v>2</v>
      </c>
      <c r="L124" s="103"/>
      <c r="M124" s="102">
        <v>505</v>
      </c>
      <c r="N124" s="102">
        <v>447.8</v>
      </c>
      <c r="O124" s="102">
        <v>1103</v>
      </c>
      <c r="P124" s="102">
        <v>1581.5</v>
      </c>
      <c r="Q124" s="102"/>
      <c r="R124" s="102">
        <v>2040.9</v>
      </c>
    </row>
    <row r="125" spans="1:18" ht="15">
      <c r="A125" s="108">
        <f t="shared" si="8"/>
        <v>8</v>
      </c>
      <c r="B125" s="109" t="s">
        <v>44</v>
      </c>
      <c r="C125" s="108">
        <v>138</v>
      </c>
      <c r="D125" s="108"/>
      <c r="E125" s="108"/>
      <c r="F125" s="113">
        <v>6294.5</v>
      </c>
      <c r="G125" s="111">
        <v>3</v>
      </c>
      <c r="H125" s="111">
        <v>9</v>
      </c>
      <c r="I125" s="111">
        <v>3</v>
      </c>
      <c r="J125" s="111"/>
      <c r="K125" s="111">
        <v>3</v>
      </c>
      <c r="L125" s="111"/>
      <c r="M125" s="110">
        <v>584.7</v>
      </c>
      <c r="N125" s="110">
        <v>357</v>
      </c>
      <c r="O125" s="110">
        <v>548</v>
      </c>
      <c r="P125" s="110">
        <v>1224</v>
      </c>
      <c r="Q125" s="110"/>
      <c r="R125" s="110">
        <v>786</v>
      </c>
    </row>
    <row r="126" spans="1:18" ht="15">
      <c r="A126" s="100">
        <f t="shared" si="8"/>
        <v>9</v>
      </c>
      <c r="B126" s="101" t="s">
        <v>78</v>
      </c>
      <c r="C126" s="100">
        <v>1</v>
      </c>
      <c r="D126" s="100"/>
      <c r="E126" s="100"/>
      <c r="F126" s="112">
        <v>18365.17</v>
      </c>
      <c r="G126" s="103">
        <v>9</v>
      </c>
      <c r="H126" s="103">
        <v>9</v>
      </c>
      <c r="I126" s="103">
        <v>9</v>
      </c>
      <c r="J126" s="103"/>
      <c r="K126" s="103">
        <v>9</v>
      </c>
      <c r="L126" s="103"/>
      <c r="M126" s="102">
        <v>916.5</v>
      </c>
      <c r="N126" s="102">
        <v>1318</v>
      </c>
      <c r="O126" s="102">
        <v>4275</v>
      </c>
      <c r="P126" s="102">
        <v>2629</v>
      </c>
      <c r="Q126" s="102"/>
      <c r="R126" s="102">
        <v>2920</v>
      </c>
    </row>
    <row r="127" spans="1:18" ht="15">
      <c r="A127" s="108">
        <f t="shared" si="8"/>
        <v>10</v>
      </c>
      <c r="B127" s="109" t="s">
        <v>78</v>
      </c>
      <c r="C127" s="108">
        <v>5</v>
      </c>
      <c r="D127" s="108"/>
      <c r="E127" s="108"/>
      <c r="F127" s="113">
        <v>14112.95</v>
      </c>
      <c r="G127" s="111">
        <v>8</v>
      </c>
      <c r="H127" s="111">
        <v>9</v>
      </c>
      <c r="I127" s="111">
        <v>8</v>
      </c>
      <c r="J127" s="111"/>
      <c r="K127" s="111">
        <v>8</v>
      </c>
      <c r="L127" s="111"/>
      <c r="M127" s="110">
        <v>695.4</v>
      </c>
      <c r="N127" s="110">
        <v>1257.4</v>
      </c>
      <c r="O127" s="110">
        <v>8579</v>
      </c>
      <c r="P127" s="110">
        <v>2135</v>
      </c>
      <c r="Q127" s="110"/>
      <c r="R127" s="110">
        <v>2482</v>
      </c>
    </row>
    <row r="128" spans="1:18" ht="15">
      <c r="A128" s="108">
        <f t="shared" si="8"/>
        <v>11</v>
      </c>
      <c r="B128" s="109" t="s">
        <v>78</v>
      </c>
      <c r="C128" s="108">
        <v>9</v>
      </c>
      <c r="D128" s="108"/>
      <c r="E128" s="108"/>
      <c r="F128" s="113">
        <v>20891.03</v>
      </c>
      <c r="G128" s="111">
        <v>10</v>
      </c>
      <c r="H128" s="111">
        <v>9</v>
      </c>
      <c r="I128" s="111">
        <v>10</v>
      </c>
      <c r="J128" s="111"/>
      <c r="K128" s="111">
        <v>10</v>
      </c>
      <c r="L128" s="111"/>
      <c r="M128" s="110">
        <v>946.6</v>
      </c>
      <c r="N128" s="110">
        <v>1623.5</v>
      </c>
      <c r="O128" s="110">
        <v>5844</v>
      </c>
      <c r="P128" s="110">
        <v>3864</v>
      </c>
      <c r="Q128" s="110"/>
      <c r="R128" s="110">
        <v>3406</v>
      </c>
    </row>
    <row r="129" spans="1:18" ht="15">
      <c r="A129" s="108">
        <f t="shared" si="8"/>
        <v>12</v>
      </c>
      <c r="B129" s="109" t="s">
        <v>79</v>
      </c>
      <c r="C129" s="108">
        <v>4</v>
      </c>
      <c r="D129" s="108"/>
      <c r="E129" s="108"/>
      <c r="F129" s="113">
        <v>5177.7</v>
      </c>
      <c r="G129" s="111">
        <v>2</v>
      </c>
      <c r="H129" s="111">
        <v>9</v>
      </c>
      <c r="I129" s="111">
        <v>2</v>
      </c>
      <c r="J129" s="111"/>
      <c r="K129" s="111">
        <v>2</v>
      </c>
      <c r="L129" s="111"/>
      <c r="M129" s="110">
        <v>311</v>
      </c>
      <c r="N129" s="110">
        <v>272.3</v>
      </c>
      <c r="O129" s="110">
        <v>1449.5</v>
      </c>
      <c r="P129" s="110">
        <v>1271</v>
      </c>
      <c r="Q129" s="110"/>
      <c r="R129" s="110">
        <v>1736</v>
      </c>
    </row>
    <row r="130" spans="1:18" ht="15">
      <c r="A130" s="108">
        <f t="shared" si="8"/>
        <v>13</v>
      </c>
      <c r="B130" s="109" t="s">
        <v>57</v>
      </c>
      <c r="C130" s="108">
        <v>43</v>
      </c>
      <c r="D130" s="108"/>
      <c r="E130" s="108"/>
      <c r="F130" s="113">
        <v>7765.5</v>
      </c>
      <c r="G130" s="111">
        <v>4</v>
      </c>
      <c r="H130" s="111">
        <v>9</v>
      </c>
      <c r="I130" s="111">
        <v>4</v>
      </c>
      <c r="J130" s="111"/>
      <c r="K130" s="111">
        <v>4</v>
      </c>
      <c r="L130" s="111"/>
      <c r="M130" s="110">
        <v>441.2</v>
      </c>
      <c r="N130" s="110">
        <v>770.3</v>
      </c>
      <c r="O130" s="110">
        <v>1071.6</v>
      </c>
      <c r="P130" s="110">
        <v>1845.8</v>
      </c>
      <c r="Q130" s="110"/>
      <c r="R130" s="110">
        <v>1974</v>
      </c>
    </row>
    <row r="131" spans="1:18" ht="15">
      <c r="A131" s="108">
        <f t="shared" si="8"/>
        <v>14</v>
      </c>
      <c r="B131" s="109" t="s">
        <v>57</v>
      </c>
      <c r="C131" s="108">
        <v>45</v>
      </c>
      <c r="D131" s="108" t="s">
        <v>41</v>
      </c>
      <c r="E131" s="108"/>
      <c r="F131" s="113">
        <v>1967.9</v>
      </c>
      <c r="G131" s="111">
        <v>2</v>
      </c>
      <c r="H131" s="111">
        <v>9</v>
      </c>
      <c r="I131" s="111">
        <v>2</v>
      </c>
      <c r="J131" s="111"/>
      <c r="K131" s="111">
        <v>2</v>
      </c>
      <c r="L131" s="111"/>
      <c r="M131" s="110">
        <v>340.9</v>
      </c>
      <c r="N131" s="110">
        <v>753.5</v>
      </c>
      <c r="O131" s="110">
        <v>1452.9</v>
      </c>
      <c r="P131" s="110">
        <v>1726.6</v>
      </c>
      <c r="Q131" s="110"/>
      <c r="R131" s="110">
        <v>2490.9</v>
      </c>
    </row>
    <row r="132" spans="1:18" ht="15">
      <c r="A132" s="108">
        <f t="shared" si="8"/>
        <v>15</v>
      </c>
      <c r="B132" s="109" t="s">
        <v>57</v>
      </c>
      <c r="C132" s="108">
        <v>45</v>
      </c>
      <c r="D132" s="108"/>
      <c r="E132" s="108"/>
      <c r="F132" s="113">
        <v>5686.7</v>
      </c>
      <c r="G132" s="111">
        <v>3</v>
      </c>
      <c r="H132" s="111">
        <v>9</v>
      </c>
      <c r="I132" s="111">
        <v>3</v>
      </c>
      <c r="J132" s="111"/>
      <c r="K132" s="111">
        <v>3</v>
      </c>
      <c r="L132" s="111"/>
      <c r="M132" s="110">
        <v>255.7</v>
      </c>
      <c r="N132" s="110">
        <v>982.3</v>
      </c>
      <c r="O132" s="110">
        <v>894.3</v>
      </c>
      <c r="P132" s="110">
        <v>1488.9</v>
      </c>
      <c r="Q132" s="110"/>
      <c r="R132" s="110">
        <v>342.8</v>
      </c>
    </row>
    <row r="133" spans="1:18" ht="15">
      <c r="A133" s="100">
        <f t="shared" si="8"/>
        <v>16</v>
      </c>
      <c r="B133" s="101" t="s">
        <v>57</v>
      </c>
      <c r="C133" s="100">
        <v>47</v>
      </c>
      <c r="D133" s="100"/>
      <c r="E133" s="100"/>
      <c r="F133" s="112">
        <v>7723.8</v>
      </c>
      <c r="G133" s="103">
        <v>4</v>
      </c>
      <c r="H133" s="103">
        <v>9</v>
      </c>
      <c r="I133" s="103">
        <v>4</v>
      </c>
      <c r="J133" s="103"/>
      <c r="K133" s="103">
        <v>4</v>
      </c>
      <c r="L133" s="103"/>
      <c r="M133" s="102">
        <v>520.7</v>
      </c>
      <c r="N133" s="102">
        <v>762.3</v>
      </c>
      <c r="O133" s="102">
        <v>352.3</v>
      </c>
      <c r="P133" s="102">
        <v>506</v>
      </c>
      <c r="Q133" s="102"/>
      <c r="R133" s="102">
        <v>126.9</v>
      </c>
    </row>
    <row r="134" spans="1:18" ht="15">
      <c r="A134" s="119">
        <f t="shared" si="8"/>
        <v>17</v>
      </c>
      <c r="B134" s="120" t="s">
        <v>53</v>
      </c>
      <c r="C134" s="119">
        <v>11</v>
      </c>
      <c r="D134" s="119"/>
      <c r="E134" s="119"/>
      <c r="F134" s="123">
        <v>15372.3</v>
      </c>
      <c r="G134" s="122">
        <v>8</v>
      </c>
      <c r="H134" s="122">
        <v>9</v>
      </c>
      <c r="I134" s="122">
        <v>8</v>
      </c>
      <c r="J134" s="122"/>
      <c r="K134" s="122">
        <v>8</v>
      </c>
      <c r="L134" s="122"/>
      <c r="M134" s="121">
        <v>321.3</v>
      </c>
      <c r="N134" s="121">
        <v>1895.8</v>
      </c>
      <c r="O134" s="121">
        <v>5738</v>
      </c>
      <c r="P134" s="121">
        <v>4299</v>
      </c>
      <c r="Q134" s="121"/>
      <c r="R134" s="121">
        <v>2486</v>
      </c>
    </row>
    <row r="135" spans="1:18" ht="15">
      <c r="A135" s="119">
        <f t="shared" si="8"/>
        <v>18</v>
      </c>
      <c r="B135" s="120" t="s">
        <v>50</v>
      </c>
      <c r="C135" s="119">
        <v>20</v>
      </c>
      <c r="D135" s="119"/>
      <c r="E135" s="119"/>
      <c r="F135" s="123">
        <v>5267.2</v>
      </c>
      <c r="G135" s="122">
        <v>8</v>
      </c>
      <c r="H135" s="122">
        <v>5</v>
      </c>
      <c r="I135" s="122">
        <v>8</v>
      </c>
      <c r="J135" s="122"/>
      <c r="K135" s="122"/>
      <c r="L135" s="122"/>
      <c r="M135" s="121">
        <v>14.4</v>
      </c>
      <c r="N135" s="121">
        <v>1614</v>
      </c>
      <c r="O135" s="121">
        <v>1302.3</v>
      </c>
      <c r="P135" s="121">
        <v>1847.5</v>
      </c>
      <c r="Q135" s="121"/>
      <c r="R135" s="121">
        <v>0</v>
      </c>
    </row>
    <row r="136" spans="1:18" ht="15">
      <c r="A136" s="124">
        <f t="shared" si="8"/>
        <v>19</v>
      </c>
      <c r="B136" s="125" t="s">
        <v>44</v>
      </c>
      <c r="C136" s="124">
        <v>122</v>
      </c>
      <c r="D136" s="124"/>
      <c r="E136" s="124"/>
      <c r="F136" s="138">
        <v>7817.2</v>
      </c>
      <c r="G136" s="127">
        <v>4</v>
      </c>
      <c r="H136" s="127">
        <v>9</v>
      </c>
      <c r="I136" s="127">
        <v>4</v>
      </c>
      <c r="J136" s="127"/>
      <c r="K136" s="127">
        <v>4</v>
      </c>
      <c r="L136" s="127"/>
      <c r="M136" s="126">
        <v>506.6</v>
      </c>
      <c r="N136" s="126">
        <v>761.2</v>
      </c>
      <c r="O136" s="126">
        <v>1151.8</v>
      </c>
      <c r="P136" s="126">
        <v>1730</v>
      </c>
      <c r="Q136" s="126"/>
      <c r="R136" s="126">
        <v>576</v>
      </c>
    </row>
    <row r="137" spans="1:18" ht="15">
      <c r="A137" s="139">
        <f t="shared" si="8"/>
        <v>20</v>
      </c>
      <c r="B137" s="140" t="s">
        <v>44</v>
      </c>
      <c r="C137" s="139">
        <v>108</v>
      </c>
      <c r="D137" s="139" t="s">
        <v>41</v>
      </c>
      <c r="E137" s="139"/>
      <c r="F137" s="190">
        <v>3797.3</v>
      </c>
      <c r="G137" s="142">
        <v>1</v>
      </c>
      <c r="H137" s="142">
        <v>12</v>
      </c>
      <c r="I137" s="142">
        <v>1</v>
      </c>
      <c r="J137" s="142"/>
      <c r="K137" s="142">
        <v>2</v>
      </c>
      <c r="L137" s="142"/>
      <c r="M137" s="141">
        <v>519</v>
      </c>
      <c r="N137" s="141">
        <v>216.8</v>
      </c>
      <c r="O137" s="141">
        <v>728.7</v>
      </c>
      <c r="P137" s="141">
        <v>1731.5</v>
      </c>
      <c r="Q137" s="141"/>
      <c r="R137" s="141">
        <v>1463.3</v>
      </c>
    </row>
    <row r="138" spans="1:18" ht="15">
      <c r="A138" s="171">
        <f t="shared" si="8"/>
        <v>21</v>
      </c>
      <c r="B138" s="172" t="s">
        <v>44</v>
      </c>
      <c r="C138" s="171">
        <v>138</v>
      </c>
      <c r="D138" s="171" t="s">
        <v>41</v>
      </c>
      <c r="E138" s="171"/>
      <c r="F138" s="175">
        <v>12058.4</v>
      </c>
      <c r="G138" s="174">
        <v>6</v>
      </c>
      <c r="H138" s="174">
        <v>9</v>
      </c>
      <c r="I138" s="174">
        <v>6</v>
      </c>
      <c r="J138" s="174"/>
      <c r="K138" s="174">
        <v>6</v>
      </c>
      <c r="L138" s="174"/>
      <c r="M138" s="173">
        <v>1196</v>
      </c>
      <c r="N138" s="173">
        <v>731.9</v>
      </c>
      <c r="O138" s="173">
        <v>5137</v>
      </c>
      <c r="P138" s="173">
        <v>1619</v>
      </c>
      <c r="Q138" s="173"/>
      <c r="R138" s="173">
        <v>4961</v>
      </c>
    </row>
    <row r="139" spans="1:18" ht="15">
      <c r="A139" s="171">
        <f t="shared" si="8"/>
        <v>22</v>
      </c>
      <c r="B139" s="172" t="s">
        <v>44</v>
      </c>
      <c r="C139" s="171">
        <v>98</v>
      </c>
      <c r="D139" s="171"/>
      <c r="E139" s="171"/>
      <c r="F139" s="175">
        <v>3722.3</v>
      </c>
      <c r="G139" s="174">
        <v>1</v>
      </c>
      <c r="H139" s="174">
        <v>12</v>
      </c>
      <c r="I139" s="174">
        <v>1</v>
      </c>
      <c r="J139" s="174"/>
      <c r="K139" s="174">
        <v>2</v>
      </c>
      <c r="L139" s="174"/>
      <c r="M139" s="173">
        <v>519</v>
      </c>
      <c r="N139" s="173">
        <v>199.7</v>
      </c>
      <c r="O139" s="173">
        <v>1423.7</v>
      </c>
      <c r="P139" s="173">
        <v>937.2</v>
      </c>
      <c r="Q139" s="173"/>
      <c r="R139" s="173">
        <v>900</v>
      </c>
    </row>
    <row r="140" spans="1:18" ht="15">
      <c r="A140" s="128">
        <f>A139+1</f>
        <v>23</v>
      </c>
      <c r="B140" s="129" t="s">
        <v>76</v>
      </c>
      <c r="C140" s="128">
        <v>5</v>
      </c>
      <c r="D140" s="128"/>
      <c r="E140" s="128"/>
      <c r="F140" s="130">
        <v>7828.8</v>
      </c>
      <c r="G140" s="131">
        <v>4</v>
      </c>
      <c r="H140" s="131">
        <v>9</v>
      </c>
      <c r="I140" s="131">
        <v>4</v>
      </c>
      <c r="J140" s="131"/>
      <c r="K140" s="131">
        <v>4</v>
      </c>
      <c r="L140" s="131"/>
      <c r="M140" s="132">
        <v>284.8</v>
      </c>
      <c r="N140" s="132">
        <v>488</v>
      </c>
      <c r="O140" s="132">
        <v>1403.9</v>
      </c>
      <c r="P140" s="132">
        <v>628</v>
      </c>
      <c r="Q140" s="132"/>
      <c r="R140" s="132">
        <v>1533</v>
      </c>
    </row>
    <row r="141" spans="1:18" ht="15">
      <c r="A141" s="128">
        <f aca="true" t="shared" si="9" ref="A141:A175">A140+1</f>
        <v>24</v>
      </c>
      <c r="B141" s="129" t="s">
        <v>78</v>
      </c>
      <c r="C141" s="128">
        <v>7</v>
      </c>
      <c r="D141" s="128"/>
      <c r="E141" s="128"/>
      <c r="F141" s="130">
        <v>20634.19</v>
      </c>
      <c r="G141" s="131">
        <v>10</v>
      </c>
      <c r="H141" s="131">
        <v>9</v>
      </c>
      <c r="I141" s="131">
        <v>10</v>
      </c>
      <c r="J141" s="131"/>
      <c r="K141" s="131">
        <v>10</v>
      </c>
      <c r="L141" s="131"/>
      <c r="M141" s="132">
        <v>1165.5</v>
      </c>
      <c r="N141" s="132">
        <v>1079.4</v>
      </c>
      <c r="O141" s="132">
        <v>7892</v>
      </c>
      <c r="P141" s="132">
        <v>2626</v>
      </c>
      <c r="Q141" s="132"/>
      <c r="R141" s="132">
        <v>3786</v>
      </c>
    </row>
    <row r="142" spans="1:18" ht="15">
      <c r="A142" s="128">
        <f t="shared" si="9"/>
        <v>25</v>
      </c>
      <c r="B142" s="129" t="s">
        <v>53</v>
      </c>
      <c r="C142" s="128">
        <v>17</v>
      </c>
      <c r="D142" s="128"/>
      <c r="E142" s="128"/>
      <c r="F142" s="130">
        <v>15610.1</v>
      </c>
      <c r="G142" s="131">
        <v>8</v>
      </c>
      <c r="H142" s="131">
        <v>9</v>
      </c>
      <c r="I142" s="131">
        <v>8</v>
      </c>
      <c r="J142" s="131"/>
      <c r="K142" s="131">
        <v>8</v>
      </c>
      <c r="L142" s="131"/>
      <c r="M142" s="132">
        <v>796.9</v>
      </c>
      <c r="N142" s="132">
        <v>1066.3</v>
      </c>
      <c r="O142" s="132">
        <v>4935</v>
      </c>
      <c r="P142" s="132">
        <v>4312</v>
      </c>
      <c r="Q142" s="132"/>
      <c r="R142" s="132">
        <v>3600</v>
      </c>
    </row>
    <row r="143" spans="1:18" ht="15">
      <c r="A143" s="176">
        <f t="shared" si="9"/>
        <v>26</v>
      </c>
      <c r="B143" s="177" t="s">
        <v>50</v>
      </c>
      <c r="C143" s="176">
        <v>12</v>
      </c>
      <c r="D143" s="176"/>
      <c r="E143" s="176"/>
      <c r="F143" s="191">
        <v>4176.1</v>
      </c>
      <c r="G143" s="179">
        <v>6</v>
      </c>
      <c r="H143" s="179">
        <v>5</v>
      </c>
      <c r="I143" s="179">
        <v>6</v>
      </c>
      <c r="J143" s="179"/>
      <c r="K143" s="179"/>
      <c r="L143" s="179"/>
      <c r="M143" s="178">
        <v>9.6</v>
      </c>
      <c r="N143" s="178">
        <v>833.4</v>
      </c>
      <c r="O143" s="178">
        <v>1444.8</v>
      </c>
      <c r="P143" s="178">
        <v>1394.8</v>
      </c>
      <c r="Q143" s="178"/>
      <c r="R143" s="178">
        <v>1681.3</v>
      </c>
    </row>
    <row r="144" spans="1:18" ht="15">
      <c r="A144" s="185">
        <f t="shared" si="9"/>
        <v>27</v>
      </c>
      <c r="B144" s="186" t="s">
        <v>44</v>
      </c>
      <c r="C144" s="185">
        <v>124</v>
      </c>
      <c r="D144" s="185"/>
      <c r="E144" s="185"/>
      <c r="F144" s="189">
        <v>4401.1</v>
      </c>
      <c r="G144" s="188">
        <v>1</v>
      </c>
      <c r="H144" s="188">
        <v>14</v>
      </c>
      <c r="I144" s="188">
        <v>1</v>
      </c>
      <c r="J144" s="188"/>
      <c r="K144" s="188">
        <v>2</v>
      </c>
      <c r="L144" s="188"/>
      <c r="M144" s="187">
        <v>505</v>
      </c>
      <c r="N144" s="187">
        <v>447.9</v>
      </c>
      <c r="O144" s="187">
        <v>1223.6</v>
      </c>
      <c r="P144" s="187">
        <v>1072.3</v>
      </c>
      <c r="Q144" s="187"/>
      <c r="R144" s="187">
        <v>510.3</v>
      </c>
    </row>
    <row r="145" spans="1:18" ht="15">
      <c r="A145" s="185">
        <f t="shared" si="9"/>
        <v>28</v>
      </c>
      <c r="B145" s="186" t="s">
        <v>50</v>
      </c>
      <c r="C145" s="185">
        <v>10</v>
      </c>
      <c r="D145" s="185"/>
      <c r="E145" s="185"/>
      <c r="F145" s="189">
        <v>2855.3</v>
      </c>
      <c r="G145" s="188">
        <v>4</v>
      </c>
      <c r="H145" s="188">
        <v>5</v>
      </c>
      <c r="I145" s="188">
        <v>4</v>
      </c>
      <c r="J145" s="188"/>
      <c r="K145" s="188"/>
      <c r="L145" s="188"/>
      <c r="M145" s="187">
        <v>5.6</v>
      </c>
      <c r="N145" s="187">
        <v>525.2</v>
      </c>
      <c r="O145" s="187">
        <v>963</v>
      </c>
      <c r="P145" s="187">
        <v>2650</v>
      </c>
      <c r="Q145" s="187"/>
      <c r="R145" s="187">
        <v>754</v>
      </c>
    </row>
    <row r="146" spans="1:18" ht="15">
      <c r="A146" s="185">
        <f t="shared" si="9"/>
        <v>29</v>
      </c>
      <c r="B146" s="186" t="s">
        <v>50</v>
      </c>
      <c r="C146" s="185">
        <v>24</v>
      </c>
      <c r="D146" s="185"/>
      <c r="E146" s="185"/>
      <c r="F146" s="189">
        <v>2829.4</v>
      </c>
      <c r="G146" s="188">
        <v>4</v>
      </c>
      <c r="H146" s="188">
        <v>5</v>
      </c>
      <c r="I146" s="188">
        <v>4</v>
      </c>
      <c r="J146" s="188"/>
      <c r="K146" s="188"/>
      <c r="L146" s="188"/>
      <c r="M146" s="187">
        <v>4.8</v>
      </c>
      <c r="N146" s="187">
        <v>532.2</v>
      </c>
      <c r="O146" s="187">
        <v>647.7</v>
      </c>
      <c r="P146" s="187">
        <v>1259.5</v>
      </c>
      <c r="Q146" s="187"/>
      <c r="R146" s="187">
        <v>260</v>
      </c>
    </row>
    <row r="147" spans="1:18" ht="15">
      <c r="A147" s="185">
        <f t="shared" si="9"/>
        <v>30</v>
      </c>
      <c r="B147" s="186" t="s">
        <v>76</v>
      </c>
      <c r="C147" s="185">
        <v>7</v>
      </c>
      <c r="D147" s="185"/>
      <c r="E147" s="185"/>
      <c r="F147" s="189">
        <v>3877.8</v>
      </c>
      <c r="G147" s="188">
        <v>2</v>
      </c>
      <c r="H147" s="188">
        <v>9</v>
      </c>
      <c r="I147" s="188">
        <v>2</v>
      </c>
      <c r="J147" s="188" t="s">
        <v>129</v>
      </c>
      <c r="K147" s="188">
        <v>2</v>
      </c>
      <c r="L147" s="188"/>
      <c r="M147" s="187">
        <v>24.6</v>
      </c>
      <c r="N147" s="187">
        <v>472</v>
      </c>
      <c r="O147" s="187">
        <v>1384.7</v>
      </c>
      <c r="P147" s="187">
        <v>628</v>
      </c>
      <c r="Q147" s="187"/>
      <c r="R147" s="187">
        <v>1533</v>
      </c>
    </row>
    <row r="148" spans="1:18" ht="15">
      <c r="A148" s="185">
        <f t="shared" si="9"/>
        <v>31</v>
      </c>
      <c r="B148" s="186" t="s">
        <v>78</v>
      </c>
      <c r="C148" s="185">
        <v>2</v>
      </c>
      <c r="D148" s="185"/>
      <c r="E148" s="185"/>
      <c r="F148" s="189">
        <v>7713.02</v>
      </c>
      <c r="G148" s="188">
        <v>4</v>
      </c>
      <c r="H148" s="188">
        <v>9</v>
      </c>
      <c r="I148" s="188">
        <v>4</v>
      </c>
      <c r="J148" s="188"/>
      <c r="K148" s="188">
        <v>4</v>
      </c>
      <c r="L148" s="188"/>
      <c r="M148" s="187">
        <v>154.6</v>
      </c>
      <c r="N148" s="187">
        <v>945</v>
      </c>
      <c r="O148" s="187">
        <v>1739</v>
      </c>
      <c r="P148" s="187">
        <v>1079</v>
      </c>
      <c r="Q148" s="187"/>
      <c r="R148" s="187">
        <v>2411</v>
      </c>
    </row>
    <row r="149" spans="1:18" ht="15">
      <c r="A149" s="143">
        <f t="shared" si="9"/>
        <v>32</v>
      </c>
      <c r="B149" s="144" t="s">
        <v>51</v>
      </c>
      <c r="C149" s="143">
        <v>157</v>
      </c>
      <c r="D149" s="143"/>
      <c r="E149" s="143"/>
      <c r="F149" s="228">
        <v>9035.3</v>
      </c>
      <c r="G149" s="146">
        <v>4</v>
      </c>
      <c r="H149" s="146">
        <v>10</v>
      </c>
      <c r="I149" s="146">
        <v>4</v>
      </c>
      <c r="J149" s="146"/>
      <c r="K149" s="146">
        <v>4</v>
      </c>
      <c r="L149" s="146"/>
      <c r="M149" s="145">
        <v>663.7</v>
      </c>
      <c r="N149" s="145">
        <v>852.9</v>
      </c>
      <c r="O149" s="145">
        <v>2516</v>
      </c>
      <c r="P149" s="145">
        <v>2182</v>
      </c>
      <c r="Q149" s="145"/>
      <c r="R149" s="145">
        <v>3438</v>
      </c>
    </row>
    <row r="150" spans="1:18" ht="15">
      <c r="A150" s="143">
        <f t="shared" si="9"/>
        <v>33</v>
      </c>
      <c r="B150" s="144" t="s">
        <v>44</v>
      </c>
      <c r="C150" s="143">
        <v>108</v>
      </c>
      <c r="D150" s="143"/>
      <c r="E150" s="143"/>
      <c r="F150" s="228">
        <v>3651.4</v>
      </c>
      <c r="G150" s="146">
        <v>1</v>
      </c>
      <c r="H150" s="146">
        <v>12</v>
      </c>
      <c r="I150" s="146">
        <v>1</v>
      </c>
      <c r="J150" s="146"/>
      <c r="K150" s="146">
        <v>2</v>
      </c>
      <c r="L150" s="146"/>
      <c r="M150" s="145">
        <v>519</v>
      </c>
      <c r="N150" s="145">
        <v>202.8</v>
      </c>
      <c r="O150" s="145">
        <v>1196</v>
      </c>
      <c r="P150" s="145">
        <v>2134.7</v>
      </c>
      <c r="Q150" s="145"/>
      <c r="R150" s="145">
        <v>694</v>
      </c>
    </row>
    <row r="151" spans="1:18" ht="15">
      <c r="A151" s="128">
        <f t="shared" si="9"/>
        <v>34</v>
      </c>
      <c r="B151" s="129" t="s">
        <v>76</v>
      </c>
      <c r="C151" s="128">
        <v>2</v>
      </c>
      <c r="D151" s="128"/>
      <c r="E151" s="128"/>
      <c r="F151" s="130">
        <v>6871.4</v>
      </c>
      <c r="G151" s="131">
        <v>4</v>
      </c>
      <c r="H151" s="131">
        <v>9</v>
      </c>
      <c r="I151" s="131">
        <v>4</v>
      </c>
      <c r="J151" s="131"/>
      <c r="K151" s="131">
        <v>4</v>
      </c>
      <c r="L151" s="131"/>
      <c r="M151" s="132">
        <v>0</v>
      </c>
      <c r="N151" s="132">
        <v>921.5</v>
      </c>
      <c r="O151" s="132">
        <v>1009.2</v>
      </c>
      <c r="P151" s="132">
        <v>1824.2</v>
      </c>
      <c r="Q151" s="132"/>
      <c r="R151" s="132">
        <v>1635.5</v>
      </c>
    </row>
    <row r="152" spans="1:18" ht="15">
      <c r="A152" s="128">
        <f t="shared" si="9"/>
        <v>35</v>
      </c>
      <c r="B152" s="129" t="s">
        <v>44</v>
      </c>
      <c r="C152" s="128">
        <v>132</v>
      </c>
      <c r="D152" s="128"/>
      <c r="E152" s="128"/>
      <c r="F152" s="130">
        <v>3802.1</v>
      </c>
      <c r="G152" s="131">
        <v>1</v>
      </c>
      <c r="H152" s="131">
        <v>12</v>
      </c>
      <c r="I152" s="131">
        <v>1</v>
      </c>
      <c r="J152" s="131"/>
      <c r="K152" s="131">
        <v>2</v>
      </c>
      <c r="L152" s="131"/>
      <c r="M152" s="132">
        <v>523.1</v>
      </c>
      <c r="N152" s="132">
        <v>216.3</v>
      </c>
      <c r="O152" s="132">
        <v>916</v>
      </c>
      <c r="P152" s="132">
        <v>527</v>
      </c>
      <c r="Q152" s="132"/>
      <c r="R152" s="132">
        <v>284</v>
      </c>
    </row>
    <row r="153" spans="1:18" ht="15">
      <c r="A153" s="128">
        <f t="shared" si="9"/>
        <v>36</v>
      </c>
      <c r="B153" s="129" t="s">
        <v>80</v>
      </c>
      <c r="C153" s="128">
        <v>38</v>
      </c>
      <c r="D153" s="128" t="s">
        <v>40</v>
      </c>
      <c r="E153" s="128"/>
      <c r="F153" s="130">
        <v>9577</v>
      </c>
      <c r="G153" s="131">
        <v>5</v>
      </c>
      <c r="H153" s="131">
        <v>9</v>
      </c>
      <c r="I153" s="131">
        <v>5</v>
      </c>
      <c r="J153" s="131"/>
      <c r="K153" s="131">
        <v>5</v>
      </c>
      <c r="L153" s="131"/>
      <c r="M153" s="132">
        <v>105.3</v>
      </c>
      <c r="N153" s="132">
        <v>716</v>
      </c>
      <c r="O153" s="132">
        <v>1876.7</v>
      </c>
      <c r="P153" s="132">
        <v>1758.4</v>
      </c>
      <c r="Q153" s="132"/>
      <c r="R153" s="132">
        <v>519.5</v>
      </c>
    </row>
    <row r="154" spans="1:18" ht="15">
      <c r="A154" s="143">
        <f t="shared" si="9"/>
        <v>37</v>
      </c>
      <c r="B154" s="144" t="s">
        <v>80</v>
      </c>
      <c r="C154" s="143">
        <v>26</v>
      </c>
      <c r="D154" s="143" t="s">
        <v>73</v>
      </c>
      <c r="E154" s="143"/>
      <c r="F154" s="228">
        <v>3806.9</v>
      </c>
      <c r="G154" s="146">
        <v>2</v>
      </c>
      <c r="H154" s="146">
        <v>9</v>
      </c>
      <c r="I154" s="146">
        <v>2</v>
      </c>
      <c r="J154" s="146"/>
      <c r="K154" s="146">
        <v>2</v>
      </c>
      <c r="L154" s="146"/>
      <c r="M154" s="145">
        <v>135.2</v>
      </c>
      <c r="N154" s="145">
        <v>267.9</v>
      </c>
      <c r="O154" s="145">
        <v>1125</v>
      </c>
      <c r="P154" s="145">
        <v>1863</v>
      </c>
      <c r="Q154" s="145"/>
      <c r="R154" s="145">
        <v>0</v>
      </c>
    </row>
    <row r="155" spans="1:18" ht="15">
      <c r="A155" s="95">
        <f t="shared" si="9"/>
        <v>38</v>
      </c>
      <c r="B155" s="96" t="s">
        <v>80</v>
      </c>
      <c r="C155" s="95">
        <v>20</v>
      </c>
      <c r="D155" s="95"/>
      <c r="E155" s="95"/>
      <c r="F155" s="97">
        <v>2840.1</v>
      </c>
      <c r="G155" s="98">
        <v>4</v>
      </c>
      <c r="H155" s="98">
        <v>5</v>
      </c>
      <c r="I155" s="98"/>
      <c r="J155" s="98"/>
      <c r="K155" s="98"/>
      <c r="L155" s="98"/>
      <c r="M155" s="99">
        <v>0</v>
      </c>
      <c r="N155" s="99">
        <v>397.2</v>
      </c>
      <c r="O155" s="99">
        <v>724.8</v>
      </c>
      <c r="P155" s="99">
        <v>1671</v>
      </c>
      <c r="Q155" s="99"/>
      <c r="R155" s="99">
        <v>576</v>
      </c>
    </row>
    <row r="156" spans="1:18" ht="15">
      <c r="A156" s="100">
        <f t="shared" si="9"/>
        <v>39</v>
      </c>
      <c r="B156" s="101" t="s">
        <v>80</v>
      </c>
      <c r="C156" s="100">
        <v>28</v>
      </c>
      <c r="D156" s="100"/>
      <c r="E156" s="100"/>
      <c r="F156" s="112">
        <v>2668.5</v>
      </c>
      <c r="G156" s="103">
        <v>4</v>
      </c>
      <c r="H156" s="103">
        <v>5</v>
      </c>
      <c r="I156" s="103"/>
      <c r="J156" s="103"/>
      <c r="K156" s="103"/>
      <c r="L156" s="103"/>
      <c r="M156" s="102">
        <v>0</v>
      </c>
      <c r="N156" s="102">
        <v>373.2</v>
      </c>
      <c r="O156" s="102">
        <v>578.2</v>
      </c>
      <c r="P156" s="102">
        <v>2394.5</v>
      </c>
      <c r="Q156" s="102"/>
      <c r="R156" s="102">
        <v>450</v>
      </c>
    </row>
    <row r="157" spans="1:18" ht="15">
      <c r="A157" s="95">
        <f t="shared" si="9"/>
        <v>40</v>
      </c>
      <c r="B157" s="96" t="s">
        <v>44</v>
      </c>
      <c r="C157" s="95">
        <v>140</v>
      </c>
      <c r="D157" s="95"/>
      <c r="E157" s="95"/>
      <c r="F157" s="97">
        <v>6480.7</v>
      </c>
      <c r="G157" s="98">
        <v>8</v>
      </c>
      <c r="H157" s="98">
        <v>5</v>
      </c>
      <c r="I157" s="98"/>
      <c r="J157" s="98"/>
      <c r="K157" s="98"/>
      <c r="L157" s="98"/>
      <c r="M157" s="99">
        <v>0</v>
      </c>
      <c r="N157" s="99">
        <v>658.2</v>
      </c>
      <c r="O157" s="99">
        <v>1551</v>
      </c>
      <c r="P157" s="99">
        <v>1748</v>
      </c>
      <c r="Q157" s="99"/>
      <c r="R157" s="99">
        <v>2711</v>
      </c>
    </row>
    <row r="158" spans="1:18" ht="15">
      <c r="A158" s="108">
        <f t="shared" si="9"/>
        <v>41</v>
      </c>
      <c r="B158" s="109" t="s">
        <v>53</v>
      </c>
      <c r="C158" s="108">
        <v>15</v>
      </c>
      <c r="D158" s="108" t="s">
        <v>41</v>
      </c>
      <c r="E158" s="108"/>
      <c r="F158" s="113">
        <v>3042.7</v>
      </c>
      <c r="G158" s="111">
        <v>4</v>
      </c>
      <c r="H158" s="111">
        <v>5</v>
      </c>
      <c r="I158" s="111"/>
      <c r="J158" s="111"/>
      <c r="K158" s="111"/>
      <c r="L158" s="111"/>
      <c r="M158" s="110">
        <v>0</v>
      </c>
      <c r="N158" s="110">
        <v>353.3</v>
      </c>
      <c r="O158" s="110">
        <v>584.5</v>
      </c>
      <c r="P158" s="110">
        <v>256.8</v>
      </c>
      <c r="Q158" s="110"/>
      <c r="R158" s="110">
        <v>0</v>
      </c>
    </row>
    <row r="159" spans="1:18" ht="15">
      <c r="A159" s="108">
        <f t="shared" si="9"/>
        <v>42</v>
      </c>
      <c r="B159" s="109" t="s">
        <v>53</v>
      </c>
      <c r="C159" s="108">
        <v>15</v>
      </c>
      <c r="D159" s="108"/>
      <c r="E159" s="108"/>
      <c r="F159" s="113">
        <v>3056.2</v>
      </c>
      <c r="G159" s="111">
        <v>4</v>
      </c>
      <c r="H159" s="111">
        <v>5</v>
      </c>
      <c r="I159" s="111"/>
      <c r="J159" s="111"/>
      <c r="K159" s="111"/>
      <c r="L159" s="111"/>
      <c r="M159" s="110">
        <v>0</v>
      </c>
      <c r="N159" s="110">
        <v>302.1</v>
      </c>
      <c r="O159" s="110">
        <v>966.5</v>
      </c>
      <c r="P159" s="110">
        <v>214</v>
      </c>
      <c r="Q159" s="110"/>
      <c r="R159" s="110">
        <v>3759</v>
      </c>
    </row>
    <row r="160" spans="1:18" ht="15">
      <c r="A160" s="108">
        <f t="shared" si="9"/>
        <v>43</v>
      </c>
      <c r="B160" s="109" t="s">
        <v>77</v>
      </c>
      <c r="C160" s="108">
        <v>8</v>
      </c>
      <c r="D160" s="108"/>
      <c r="E160" s="108"/>
      <c r="F160" s="113">
        <v>3793.5</v>
      </c>
      <c r="G160" s="111">
        <v>6</v>
      </c>
      <c r="H160" s="111">
        <v>5</v>
      </c>
      <c r="I160" s="111"/>
      <c r="J160" s="111"/>
      <c r="K160" s="111"/>
      <c r="L160" s="111"/>
      <c r="M160" s="110">
        <v>0</v>
      </c>
      <c r="N160" s="110">
        <v>618</v>
      </c>
      <c r="O160" s="110">
        <v>960.3</v>
      </c>
      <c r="P160" s="110">
        <v>1389.7</v>
      </c>
      <c r="Q160" s="110"/>
      <c r="R160" s="110">
        <v>1670</v>
      </c>
    </row>
    <row r="161" spans="1:18" ht="15">
      <c r="A161" s="95">
        <f>A160+1</f>
        <v>44</v>
      </c>
      <c r="B161" s="96" t="s">
        <v>77</v>
      </c>
      <c r="C161" s="95">
        <v>33</v>
      </c>
      <c r="D161" s="95" t="s">
        <v>41</v>
      </c>
      <c r="E161" s="95"/>
      <c r="F161" s="97">
        <v>3863.25</v>
      </c>
      <c r="G161" s="98">
        <v>6</v>
      </c>
      <c r="H161" s="98">
        <v>5</v>
      </c>
      <c r="I161" s="98"/>
      <c r="J161" s="98"/>
      <c r="K161" s="98"/>
      <c r="L161" s="98"/>
      <c r="M161" s="99">
        <v>0</v>
      </c>
      <c r="N161" s="99">
        <v>535.1</v>
      </c>
      <c r="O161" s="99">
        <v>1540.4</v>
      </c>
      <c r="P161" s="99">
        <v>2956.5</v>
      </c>
      <c r="Q161" s="99"/>
      <c r="R161" s="99">
        <v>1410</v>
      </c>
    </row>
    <row r="162" spans="1:18" ht="15">
      <c r="A162" s="104">
        <f>A161+1</f>
        <v>45</v>
      </c>
      <c r="B162" s="105" t="s">
        <v>81</v>
      </c>
      <c r="C162" s="104">
        <v>14</v>
      </c>
      <c r="D162" s="104"/>
      <c r="E162" s="104"/>
      <c r="F162" s="137">
        <v>2746.6</v>
      </c>
      <c r="G162" s="107">
        <v>4</v>
      </c>
      <c r="H162" s="107">
        <v>5</v>
      </c>
      <c r="I162" s="107"/>
      <c r="J162" s="107"/>
      <c r="K162" s="107"/>
      <c r="L162" s="107"/>
      <c r="M162" s="106">
        <v>0</v>
      </c>
      <c r="N162" s="106">
        <v>370.7</v>
      </c>
      <c r="O162" s="106">
        <v>771.1</v>
      </c>
      <c r="P162" s="106">
        <v>1205</v>
      </c>
      <c r="Q162" s="106"/>
      <c r="R162" s="106">
        <v>432</v>
      </c>
    </row>
    <row r="163" spans="1:18" ht="15">
      <c r="A163" s="108">
        <f>A162+1</f>
        <v>46</v>
      </c>
      <c r="B163" s="109" t="s">
        <v>80</v>
      </c>
      <c r="C163" s="108">
        <v>18</v>
      </c>
      <c r="D163" s="108" t="s">
        <v>41</v>
      </c>
      <c r="E163" s="108"/>
      <c r="F163" s="113">
        <v>5366</v>
      </c>
      <c r="G163" s="111">
        <v>8</v>
      </c>
      <c r="H163" s="111">
        <v>5</v>
      </c>
      <c r="I163" s="111"/>
      <c r="J163" s="111"/>
      <c r="K163" s="111"/>
      <c r="L163" s="111"/>
      <c r="M163" s="110">
        <v>0</v>
      </c>
      <c r="N163" s="110">
        <v>695</v>
      </c>
      <c r="O163" s="110">
        <v>1589.2</v>
      </c>
      <c r="P163" s="110">
        <v>2178</v>
      </c>
      <c r="Q163" s="110"/>
      <c r="R163" s="110">
        <v>2070</v>
      </c>
    </row>
    <row r="164" spans="1:18" ht="15">
      <c r="A164" s="100">
        <f t="shared" si="9"/>
        <v>47</v>
      </c>
      <c r="B164" s="101" t="s">
        <v>80</v>
      </c>
      <c r="C164" s="100">
        <v>16</v>
      </c>
      <c r="D164" s="100"/>
      <c r="E164" s="100"/>
      <c r="F164" s="112">
        <v>5467.6</v>
      </c>
      <c r="G164" s="103">
        <v>8</v>
      </c>
      <c r="H164" s="103">
        <v>5</v>
      </c>
      <c r="I164" s="103"/>
      <c r="J164" s="103"/>
      <c r="K164" s="103"/>
      <c r="L164" s="103"/>
      <c r="M164" s="102">
        <v>0</v>
      </c>
      <c r="N164" s="102">
        <v>585.5</v>
      </c>
      <c r="O164" s="102">
        <v>1546.5</v>
      </c>
      <c r="P164" s="102">
        <v>1561.4</v>
      </c>
      <c r="Q164" s="102"/>
      <c r="R164" s="102">
        <v>1372.3</v>
      </c>
    </row>
    <row r="165" spans="1:18" ht="15">
      <c r="A165" s="104">
        <f>A164+1</f>
        <v>48</v>
      </c>
      <c r="B165" s="105" t="s">
        <v>83</v>
      </c>
      <c r="C165" s="104">
        <v>2</v>
      </c>
      <c r="D165" s="104"/>
      <c r="E165" s="104"/>
      <c r="F165" s="137">
        <v>6061.35</v>
      </c>
      <c r="G165" s="107">
        <v>8</v>
      </c>
      <c r="H165" s="107">
        <v>5</v>
      </c>
      <c r="I165" s="107"/>
      <c r="J165" s="107"/>
      <c r="K165" s="107"/>
      <c r="L165" s="107"/>
      <c r="M165" s="106">
        <v>36.5</v>
      </c>
      <c r="N165" s="106">
        <v>703</v>
      </c>
      <c r="O165" s="106">
        <v>2064.3</v>
      </c>
      <c r="P165" s="106">
        <v>1692.1</v>
      </c>
      <c r="Q165" s="106"/>
      <c r="R165" s="106">
        <v>1628</v>
      </c>
    </row>
    <row r="166" spans="1:18" ht="15">
      <c r="A166" s="108">
        <f>A165+1</f>
        <v>49</v>
      </c>
      <c r="B166" s="109" t="s">
        <v>83</v>
      </c>
      <c r="C166" s="108">
        <v>10</v>
      </c>
      <c r="D166" s="108"/>
      <c r="E166" s="108"/>
      <c r="F166" s="113">
        <v>3091.4</v>
      </c>
      <c r="G166" s="111">
        <v>4</v>
      </c>
      <c r="H166" s="111">
        <v>5</v>
      </c>
      <c r="I166" s="111"/>
      <c r="J166" s="111"/>
      <c r="K166" s="111"/>
      <c r="L166" s="111"/>
      <c r="M166" s="110">
        <v>36.5</v>
      </c>
      <c r="N166" s="110">
        <v>357</v>
      </c>
      <c r="O166" s="110">
        <v>1758.2</v>
      </c>
      <c r="P166" s="110">
        <v>1559.9</v>
      </c>
      <c r="Q166" s="110"/>
      <c r="R166" s="110">
        <v>2476.7</v>
      </c>
    </row>
    <row r="167" spans="1:18" ht="15">
      <c r="A167" s="100">
        <f t="shared" si="9"/>
        <v>50</v>
      </c>
      <c r="B167" s="101" t="s">
        <v>83</v>
      </c>
      <c r="C167" s="100">
        <v>10</v>
      </c>
      <c r="D167" s="100" t="s">
        <v>41</v>
      </c>
      <c r="E167" s="100"/>
      <c r="F167" s="112">
        <v>3098.5</v>
      </c>
      <c r="G167" s="103">
        <v>4</v>
      </c>
      <c r="H167" s="103">
        <v>5</v>
      </c>
      <c r="I167" s="103"/>
      <c r="J167" s="103"/>
      <c r="K167" s="103"/>
      <c r="L167" s="103"/>
      <c r="M167" s="102">
        <v>0</v>
      </c>
      <c r="N167" s="102">
        <v>355.9</v>
      </c>
      <c r="O167" s="102">
        <v>14.8</v>
      </c>
      <c r="P167" s="102">
        <v>0</v>
      </c>
      <c r="Q167" s="102"/>
      <c r="R167" s="102">
        <v>0</v>
      </c>
    </row>
    <row r="168" spans="1:18" ht="15">
      <c r="A168" s="100">
        <f t="shared" si="9"/>
        <v>51</v>
      </c>
      <c r="B168" s="101" t="s">
        <v>83</v>
      </c>
      <c r="C168" s="100">
        <v>12</v>
      </c>
      <c r="D168" s="100"/>
      <c r="E168" s="100"/>
      <c r="F168" s="112">
        <v>4260</v>
      </c>
      <c r="G168" s="103">
        <v>4</v>
      </c>
      <c r="H168" s="103">
        <v>5</v>
      </c>
      <c r="I168" s="103"/>
      <c r="J168" s="103"/>
      <c r="K168" s="103"/>
      <c r="L168" s="103"/>
      <c r="M168" s="102">
        <v>20.8</v>
      </c>
      <c r="N168" s="102">
        <v>408.1</v>
      </c>
      <c r="O168" s="102">
        <v>1946.1</v>
      </c>
      <c r="P168" s="102">
        <v>439</v>
      </c>
      <c r="Q168" s="102"/>
      <c r="R168" s="102">
        <v>1254</v>
      </c>
    </row>
    <row r="169" spans="1:18" ht="15">
      <c r="A169" s="119">
        <f t="shared" si="9"/>
        <v>52</v>
      </c>
      <c r="B169" s="120" t="s">
        <v>80</v>
      </c>
      <c r="C169" s="119">
        <v>38</v>
      </c>
      <c r="D169" s="119"/>
      <c r="E169" s="119"/>
      <c r="F169" s="123">
        <v>4479.2</v>
      </c>
      <c r="G169" s="122">
        <v>6</v>
      </c>
      <c r="H169" s="122">
        <v>5</v>
      </c>
      <c r="I169" s="122"/>
      <c r="J169" s="122"/>
      <c r="K169" s="122"/>
      <c r="L169" s="122"/>
      <c r="M169" s="121">
        <v>0</v>
      </c>
      <c r="N169" s="121">
        <v>463.4</v>
      </c>
      <c r="O169" s="121">
        <v>977.2</v>
      </c>
      <c r="P169" s="121">
        <v>2351</v>
      </c>
      <c r="Q169" s="121"/>
      <c r="R169" s="121">
        <v>1140</v>
      </c>
    </row>
    <row r="170" spans="1:18" ht="15">
      <c r="A170" s="139">
        <f t="shared" si="9"/>
        <v>53</v>
      </c>
      <c r="B170" s="140" t="s">
        <v>82</v>
      </c>
      <c r="C170" s="139">
        <v>2</v>
      </c>
      <c r="D170" s="139"/>
      <c r="E170" s="139"/>
      <c r="F170" s="190">
        <v>2709.23</v>
      </c>
      <c r="G170" s="142">
        <v>4</v>
      </c>
      <c r="H170" s="142">
        <v>5</v>
      </c>
      <c r="I170" s="142"/>
      <c r="J170" s="142"/>
      <c r="K170" s="142"/>
      <c r="L170" s="142"/>
      <c r="M170" s="141">
        <v>27.1</v>
      </c>
      <c r="N170" s="141">
        <v>337.1</v>
      </c>
      <c r="O170" s="141">
        <v>842.3</v>
      </c>
      <c r="P170" s="141">
        <v>707</v>
      </c>
      <c r="Q170" s="141"/>
      <c r="R170" s="141">
        <v>880</v>
      </c>
    </row>
    <row r="171" spans="1:18" ht="15">
      <c r="A171" s="171">
        <f t="shared" si="9"/>
        <v>54</v>
      </c>
      <c r="B171" s="172" t="s">
        <v>76</v>
      </c>
      <c r="C171" s="171">
        <v>2</v>
      </c>
      <c r="D171" s="171" t="s">
        <v>40</v>
      </c>
      <c r="E171" s="171"/>
      <c r="F171" s="175">
        <v>6715.89</v>
      </c>
      <c r="G171" s="174">
        <v>12</v>
      </c>
      <c r="H171" s="174">
        <v>5</v>
      </c>
      <c r="I171" s="174"/>
      <c r="J171" s="174"/>
      <c r="K171" s="174"/>
      <c r="L171" s="174"/>
      <c r="M171" s="173">
        <v>0</v>
      </c>
      <c r="N171" s="173">
        <v>1075</v>
      </c>
      <c r="O171" s="173">
        <v>2636.4</v>
      </c>
      <c r="P171" s="173">
        <v>1919.5</v>
      </c>
      <c r="Q171" s="173"/>
      <c r="R171" s="173">
        <v>395.6</v>
      </c>
    </row>
    <row r="172" spans="1:18" ht="15">
      <c r="A172" s="171">
        <f t="shared" si="9"/>
        <v>55</v>
      </c>
      <c r="B172" s="172" t="s">
        <v>80</v>
      </c>
      <c r="C172" s="171">
        <v>16</v>
      </c>
      <c r="D172" s="171" t="s">
        <v>40</v>
      </c>
      <c r="E172" s="171"/>
      <c r="F172" s="175">
        <v>3411.6</v>
      </c>
      <c r="G172" s="174">
        <v>6</v>
      </c>
      <c r="H172" s="174">
        <v>5</v>
      </c>
      <c r="I172" s="174"/>
      <c r="J172" s="174"/>
      <c r="K172" s="174"/>
      <c r="L172" s="174"/>
      <c r="M172" s="173">
        <v>0</v>
      </c>
      <c r="N172" s="173">
        <v>597.4</v>
      </c>
      <c r="O172" s="173">
        <v>1193.1</v>
      </c>
      <c r="P172" s="173">
        <v>240.1</v>
      </c>
      <c r="Q172" s="173"/>
      <c r="R172" s="173">
        <v>1728</v>
      </c>
    </row>
    <row r="173" spans="1:18" ht="15">
      <c r="A173" s="128">
        <f t="shared" si="9"/>
        <v>56</v>
      </c>
      <c r="B173" s="129" t="s">
        <v>83</v>
      </c>
      <c r="C173" s="128">
        <v>6</v>
      </c>
      <c r="D173" s="128"/>
      <c r="E173" s="128"/>
      <c r="F173" s="130">
        <v>6227.3</v>
      </c>
      <c r="G173" s="131">
        <v>8</v>
      </c>
      <c r="H173" s="131">
        <v>5</v>
      </c>
      <c r="I173" s="131"/>
      <c r="J173" s="131"/>
      <c r="K173" s="131"/>
      <c r="L173" s="131"/>
      <c r="M173" s="132">
        <v>36.5</v>
      </c>
      <c r="N173" s="132">
        <v>725.4</v>
      </c>
      <c r="O173" s="132">
        <v>1858.2</v>
      </c>
      <c r="P173" s="132">
        <v>1519.3</v>
      </c>
      <c r="Q173" s="132"/>
      <c r="R173" s="132">
        <v>1818</v>
      </c>
    </row>
    <row r="174" spans="1:18" ht="15">
      <c r="A174" s="128">
        <f t="shared" si="9"/>
        <v>57</v>
      </c>
      <c r="B174" s="129" t="s">
        <v>83</v>
      </c>
      <c r="C174" s="128">
        <v>8</v>
      </c>
      <c r="D174" s="128"/>
      <c r="E174" s="128"/>
      <c r="F174" s="130">
        <v>4213.27</v>
      </c>
      <c r="G174" s="131">
        <v>4</v>
      </c>
      <c r="H174" s="131">
        <v>5</v>
      </c>
      <c r="I174" s="131"/>
      <c r="J174" s="131"/>
      <c r="K174" s="131"/>
      <c r="L174" s="131"/>
      <c r="M174" s="132">
        <v>11.8</v>
      </c>
      <c r="N174" s="132">
        <v>442</v>
      </c>
      <c r="O174" s="132">
        <v>1348.8</v>
      </c>
      <c r="P174" s="132">
        <v>1420</v>
      </c>
      <c r="Q174" s="132"/>
      <c r="R174" s="132">
        <v>2060</v>
      </c>
    </row>
    <row r="175" spans="1:18" ht="15">
      <c r="A175" s="128">
        <f t="shared" si="9"/>
        <v>58</v>
      </c>
      <c r="B175" s="129" t="s">
        <v>80</v>
      </c>
      <c r="C175" s="128">
        <v>26</v>
      </c>
      <c r="D175" s="128" t="s">
        <v>40</v>
      </c>
      <c r="E175" s="128"/>
      <c r="F175" s="130">
        <v>4017.2</v>
      </c>
      <c r="G175" s="131">
        <v>6</v>
      </c>
      <c r="H175" s="131">
        <v>5</v>
      </c>
      <c r="I175" s="131"/>
      <c r="J175" s="131"/>
      <c r="K175" s="131"/>
      <c r="L175" s="131"/>
      <c r="M175" s="132">
        <v>0</v>
      </c>
      <c r="N175" s="132">
        <v>488</v>
      </c>
      <c r="O175" s="132">
        <v>1698.9</v>
      </c>
      <c r="P175" s="132">
        <v>645.7</v>
      </c>
      <c r="Q175" s="132"/>
      <c r="R175" s="132">
        <v>1328</v>
      </c>
    </row>
    <row r="176" spans="1:18" ht="15">
      <c r="A176" s="176">
        <f>A175+1</f>
        <v>59</v>
      </c>
      <c r="B176" s="177" t="s">
        <v>77</v>
      </c>
      <c r="C176" s="176">
        <v>1</v>
      </c>
      <c r="D176" s="176" t="s">
        <v>40</v>
      </c>
      <c r="E176" s="176"/>
      <c r="F176" s="191">
        <v>8458.9</v>
      </c>
      <c r="G176" s="179">
        <v>14</v>
      </c>
      <c r="H176" s="179">
        <v>5</v>
      </c>
      <c r="I176" s="179"/>
      <c r="J176" s="179"/>
      <c r="K176" s="179"/>
      <c r="L176" s="179"/>
      <c r="M176" s="178">
        <v>0</v>
      </c>
      <c r="N176" s="178">
        <v>1348.1</v>
      </c>
      <c r="O176" s="178">
        <v>1678.6</v>
      </c>
      <c r="P176" s="178">
        <v>3425.5</v>
      </c>
      <c r="Q176" s="178"/>
      <c r="R176" s="178">
        <v>1260</v>
      </c>
    </row>
    <row r="177" spans="1:18" ht="15">
      <c r="A177" s="176">
        <f>A176+1</f>
        <v>60</v>
      </c>
      <c r="B177" s="177" t="s">
        <v>80</v>
      </c>
      <c r="C177" s="176">
        <v>38</v>
      </c>
      <c r="D177" s="176" t="s">
        <v>41</v>
      </c>
      <c r="E177" s="176"/>
      <c r="F177" s="191">
        <v>4650.09</v>
      </c>
      <c r="G177" s="179">
        <v>6</v>
      </c>
      <c r="H177" s="179">
        <v>5</v>
      </c>
      <c r="I177" s="179"/>
      <c r="J177" s="179"/>
      <c r="K177" s="179"/>
      <c r="L177" s="179"/>
      <c r="M177" s="178">
        <v>21.6</v>
      </c>
      <c r="N177" s="178">
        <v>495</v>
      </c>
      <c r="O177" s="178">
        <v>1120.6</v>
      </c>
      <c r="P177" s="178">
        <v>1175</v>
      </c>
      <c r="Q177" s="178"/>
      <c r="R177" s="178">
        <v>1742</v>
      </c>
    </row>
    <row r="178" spans="1:18" ht="15">
      <c r="A178" s="185">
        <f>A177+1</f>
        <v>61</v>
      </c>
      <c r="B178" s="186" t="s">
        <v>77</v>
      </c>
      <c r="C178" s="185">
        <v>6</v>
      </c>
      <c r="D178" s="185"/>
      <c r="E178" s="185"/>
      <c r="F178" s="189">
        <v>3548.2</v>
      </c>
      <c r="G178" s="188">
        <v>5</v>
      </c>
      <c r="H178" s="188">
        <v>5</v>
      </c>
      <c r="I178" s="188"/>
      <c r="J178" s="188"/>
      <c r="K178" s="188"/>
      <c r="L178" s="188"/>
      <c r="M178" s="187">
        <v>0</v>
      </c>
      <c r="N178" s="187">
        <v>474.7</v>
      </c>
      <c r="O178" s="187">
        <v>1940.8</v>
      </c>
      <c r="P178" s="187">
        <v>448</v>
      </c>
      <c r="Q178" s="187"/>
      <c r="R178" s="187">
        <v>0</v>
      </c>
    </row>
    <row r="179" spans="1:18" ht="15">
      <c r="A179" s="192">
        <f>A178</f>
        <v>61</v>
      </c>
      <c r="B179" s="193" t="s">
        <v>128</v>
      </c>
      <c r="C179" s="192"/>
      <c r="D179" s="192"/>
      <c r="E179" s="192"/>
      <c r="F179" s="194">
        <f>SUM(F118:F178)</f>
        <v>384400.54</v>
      </c>
      <c r="G179" s="195">
        <f>SUM(G118:G178)</f>
        <v>293</v>
      </c>
      <c r="H179" s="195">
        <f aca="true" t="shared" si="10" ref="H179:R179">SUM(H118:H178)</f>
        <v>469</v>
      </c>
      <c r="I179" s="195">
        <f t="shared" si="10"/>
        <v>146</v>
      </c>
      <c r="J179" s="195">
        <f t="shared" si="10"/>
        <v>0</v>
      </c>
      <c r="K179" s="195">
        <f t="shared" si="10"/>
        <v>134</v>
      </c>
      <c r="L179" s="195">
        <f t="shared" si="10"/>
        <v>0</v>
      </c>
      <c r="M179" s="194">
        <f t="shared" si="10"/>
        <v>17540.099999999995</v>
      </c>
      <c r="N179" s="194">
        <f t="shared" si="10"/>
        <v>39203.3</v>
      </c>
      <c r="O179" s="195">
        <f t="shared" si="10"/>
        <v>110090.8</v>
      </c>
      <c r="P179" s="195">
        <f t="shared" si="10"/>
        <v>95889.2</v>
      </c>
      <c r="Q179" s="195">
        <f t="shared" si="10"/>
        <v>0</v>
      </c>
      <c r="R179" s="195">
        <f t="shared" si="10"/>
        <v>87123.00000000001</v>
      </c>
    </row>
    <row r="180" spans="1:18" ht="14.25">
      <c r="A180" s="94"/>
      <c r="B180" s="94"/>
      <c r="C180" s="94"/>
      <c r="D180" s="94"/>
      <c r="E180" s="94"/>
      <c r="F180" s="196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1:18" ht="15">
      <c r="A181" s="108">
        <v>1</v>
      </c>
      <c r="B181" s="109" t="s">
        <v>51</v>
      </c>
      <c r="C181" s="108">
        <v>156</v>
      </c>
      <c r="D181" s="108"/>
      <c r="E181" s="108"/>
      <c r="F181" s="113">
        <v>11664.33</v>
      </c>
      <c r="G181" s="111">
        <v>6</v>
      </c>
      <c r="H181" s="111">
        <v>9</v>
      </c>
      <c r="I181" s="111">
        <v>6</v>
      </c>
      <c r="J181" s="111"/>
      <c r="K181" s="111">
        <v>6</v>
      </c>
      <c r="L181" s="111"/>
      <c r="M181" s="110">
        <v>229.9</v>
      </c>
      <c r="N181" s="110">
        <v>1513.2</v>
      </c>
      <c r="O181" s="110">
        <v>1789.8</v>
      </c>
      <c r="P181" s="110">
        <v>4324.7</v>
      </c>
      <c r="Q181" s="110"/>
      <c r="R181" s="110">
        <v>1347</v>
      </c>
    </row>
    <row r="182" spans="1:18" ht="15">
      <c r="A182" s="108">
        <f>A181+1</f>
        <v>2</v>
      </c>
      <c r="B182" s="109" t="s">
        <v>51</v>
      </c>
      <c r="C182" s="108">
        <v>108</v>
      </c>
      <c r="D182" s="108" t="s">
        <v>41</v>
      </c>
      <c r="E182" s="108"/>
      <c r="F182" s="113">
        <v>4321.6</v>
      </c>
      <c r="G182" s="111">
        <v>4</v>
      </c>
      <c r="H182" s="111">
        <v>5</v>
      </c>
      <c r="I182" s="111">
        <v>4</v>
      </c>
      <c r="J182" s="111" t="s">
        <v>129</v>
      </c>
      <c r="K182" s="111"/>
      <c r="L182" s="111"/>
      <c r="M182" s="110">
        <v>178</v>
      </c>
      <c r="N182" s="110">
        <v>322</v>
      </c>
      <c r="O182" s="110">
        <v>1133.9</v>
      </c>
      <c r="P182" s="110">
        <v>1170.9</v>
      </c>
      <c r="Q182" s="110"/>
      <c r="R182" s="110">
        <v>1357.5</v>
      </c>
    </row>
    <row r="183" spans="1:18" ht="15">
      <c r="A183" s="108">
        <f aca="true" t="shared" si="11" ref="A183:A191">A182+1</f>
        <v>3</v>
      </c>
      <c r="B183" s="109" t="s">
        <v>51</v>
      </c>
      <c r="C183" s="108">
        <v>108</v>
      </c>
      <c r="D183" s="108"/>
      <c r="E183" s="108"/>
      <c r="F183" s="113">
        <v>13605.4</v>
      </c>
      <c r="G183" s="111">
        <v>7</v>
      </c>
      <c r="H183" s="111">
        <v>9</v>
      </c>
      <c r="I183" s="111">
        <v>7</v>
      </c>
      <c r="J183" s="111" t="s">
        <v>129</v>
      </c>
      <c r="K183" s="111">
        <v>7</v>
      </c>
      <c r="L183" s="111"/>
      <c r="M183" s="110">
        <v>404</v>
      </c>
      <c r="N183" s="110">
        <v>1500.8</v>
      </c>
      <c r="O183" s="110">
        <v>1474.1</v>
      </c>
      <c r="P183" s="110">
        <v>3250.7</v>
      </c>
      <c r="Q183" s="110"/>
      <c r="R183" s="110">
        <v>2090</v>
      </c>
    </row>
    <row r="184" spans="1:18" ht="15">
      <c r="A184" s="108">
        <f t="shared" si="11"/>
        <v>4</v>
      </c>
      <c r="B184" s="109" t="s">
        <v>51</v>
      </c>
      <c r="C184" s="108">
        <v>110</v>
      </c>
      <c r="D184" s="108"/>
      <c r="E184" s="108"/>
      <c r="F184" s="113">
        <v>3899.1</v>
      </c>
      <c r="G184" s="111">
        <v>2</v>
      </c>
      <c r="H184" s="111">
        <v>9</v>
      </c>
      <c r="I184" s="111">
        <v>2</v>
      </c>
      <c r="J184" s="111" t="s">
        <v>129</v>
      </c>
      <c r="K184" s="111">
        <v>2</v>
      </c>
      <c r="L184" s="111"/>
      <c r="M184" s="110">
        <v>238.5</v>
      </c>
      <c r="N184" s="110">
        <v>197.7</v>
      </c>
      <c r="O184" s="110">
        <v>833.2</v>
      </c>
      <c r="P184" s="110">
        <v>789.5</v>
      </c>
      <c r="Q184" s="110"/>
      <c r="R184" s="110">
        <v>542.5</v>
      </c>
    </row>
    <row r="185" spans="1:18" ht="15">
      <c r="A185" s="108">
        <f t="shared" si="11"/>
        <v>5</v>
      </c>
      <c r="B185" s="109" t="s">
        <v>51</v>
      </c>
      <c r="C185" s="108">
        <v>112</v>
      </c>
      <c r="D185" s="108"/>
      <c r="E185" s="108"/>
      <c r="F185" s="113">
        <v>7777.5</v>
      </c>
      <c r="G185" s="111">
        <v>4</v>
      </c>
      <c r="H185" s="111">
        <v>9</v>
      </c>
      <c r="I185" s="111">
        <v>4</v>
      </c>
      <c r="J185" s="111" t="s">
        <v>129</v>
      </c>
      <c r="K185" s="111">
        <v>4</v>
      </c>
      <c r="L185" s="111"/>
      <c r="M185" s="110">
        <v>166.5</v>
      </c>
      <c r="N185" s="110">
        <v>964.9</v>
      </c>
      <c r="O185" s="110">
        <v>1771.4</v>
      </c>
      <c r="P185" s="110">
        <v>1662.7</v>
      </c>
      <c r="Q185" s="110"/>
      <c r="R185" s="110">
        <v>1710</v>
      </c>
    </row>
    <row r="186" spans="1:18" ht="15">
      <c r="A186" s="108">
        <f t="shared" si="11"/>
        <v>6</v>
      </c>
      <c r="B186" s="109" t="s">
        <v>51</v>
      </c>
      <c r="C186" s="108">
        <v>114</v>
      </c>
      <c r="D186" s="108"/>
      <c r="E186" s="108"/>
      <c r="F186" s="113">
        <v>4279.41</v>
      </c>
      <c r="G186" s="111">
        <v>4</v>
      </c>
      <c r="H186" s="111">
        <v>5</v>
      </c>
      <c r="I186" s="111">
        <v>4</v>
      </c>
      <c r="J186" s="111" t="s">
        <v>129</v>
      </c>
      <c r="K186" s="111"/>
      <c r="L186" s="111"/>
      <c r="M186" s="110">
        <v>93.5</v>
      </c>
      <c r="N186" s="110">
        <v>420.7</v>
      </c>
      <c r="O186" s="110">
        <v>1002.7</v>
      </c>
      <c r="P186" s="110">
        <v>2054.8</v>
      </c>
      <c r="Q186" s="110"/>
      <c r="R186" s="110">
        <v>842</v>
      </c>
    </row>
    <row r="187" spans="1:18" ht="15">
      <c r="A187" s="108">
        <f t="shared" si="11"/>
        <v>7</v>
      </c>
      <c r="B187" s="109" t="s">
        <v>51</v>
      </c>
      <c r="C187" s="108">
        <v>150</v>
      </c>
      <c r="D187" s="108"/>
      <c r="E187" s="108"/>
      <c r="F187" s="113">
        <v>5809.9</v>
      </c>
      <c r="G187" s="111">
        <v>3</v>
      </c>
      <c r="H187" s="111">
        <v>9</v>
      </c>
      <c r="I187" s="111">
        <v>3</v>
      </c>
      <c r="J187" s="111" t="s">
        <v>129</v>
      </c>
      <c r="K187" s="111">
        <v>3</v>
      </c>
      <c r="L187" s="111"/>
      <c r="M187" s="110">
        <v>288.1</v>
      </c>
      <c r="N187" s="110">
        <v>456.7</v>
      </c>
      <c r="O187" s="110">
        <v>1106.6</v>
      </c>
      <c r="P187" s="110">
        <v>1065.7</v>
      </c>
      <c r="Q187" s="110"/>
      <c r="R187" s="110">
        <v>1822.5</v>
      </c>
    </row>
    <row r="188" spans="1:18" ht="15">
      <c r="A188" s="108">
        <f t="shared" si="11"/>
        <v>8</v>
      </c>
      <c r="B188" s="109" t="s">
        <v>51</v>
      </c>
      <c r="C188" s="108">
        <v>152</v>
      </c>
      <c r="D188" s="108"/>
      <c r="E188" s="108"/>
      <c r="F188" s="113">
        <v>7189.7</v>
      </c>
      <c r="G188" s="111">
        <v>3</v>
      </c>
      <c r="H188" s="111">
        <v>10</v>
      </c>
      <c r="I188" s="111">
        <v>3</v>
      </c>
      <c r="J188" s="111" t="s">
        <v>129</v>
      </c>
      <c r="K188" s="111">
        <v>3</v>
      </c>
      <c r="L188" s="111"/>
      <c r="M188" s="110">
        <v>530</v>
      </c>
      <c r="N188" s="110">
        <v>688</v>
      </c>
      <c r="O188" s="110">
        <v>905</v>
      </c>
      <c r="P188" s="110">
        <v>1934</v>
      </c>
      <c r="Q188" s="110"/>
      <c r="R188" s="110">
        <v>1072</v>
      </c>
    </row>
    <row r="189" spans="1:18" ht="15">
      <c r="A189" s="115">
        <f t="shared" si="11"/>
        <v>9</v>
      </c>
      <c r="B189" s="114" t="s">
        <v>51</v>
      </c>
      <c r="C189" s="115">
        <v>154</v>
      </c>
      <c r="D189" s="115"/>
      <c r="E189" s="115"/>
      <c r="F189" s="116">
        <v>11669</v>
      </c>
      <c r="G189" s="117">
        <v>6</v>
      </c>
      <c r="H189" s="117">
        <v>9</v>
      </c>
      <c r="I189" s="117">
        <v>6</v>
      </c>
      <c r="J189" s="111" t="s">
        <v>129</v>
      </c>
      <c r="K189" s="117">
        <v>6</v>
      </c>
      <c r="L189" s="117"/>
      <c r="M189" s="118">
        <v>576.2</v>
      </c>
      <c r="N189" s="118">
        <v>913</v>
      </c>
      <c r="O189" s="118">
        <v>1890.3</v>
      </c>
      <c r="P189" s="118">
        <v>650</v>
      </c>
      <c r="Q189" s="118"/>
      <c r="R189" s="118">
        <v>1980</v>
      </c>
    </row>
    <row r="190" spans="1:18" ht="15">
      <c r="A190" s="95">
        <f t="shared" si="11"/>
        <v>10</v>
      </c>
      <c r="B190" s="96" t="s">
        <v>51</v>
      </c>
      <c r="C190" s="95">
        <v>106</v>
      </c>
      <c r="D190" s="95"/>
      <c r="E190" s="95"/>
      <c r="F190" s="97">
        <v>9601.6</v>
      </c>
      <c r="G190" s="98">
        <v>5</v>
      </c>
      <c r="H190" s="98">
        <v>9</v>
      </c>
      <c r="I190" s="98">
        <v>5</v>
      </c>
      <c r="J190" s="98" t="s">
        <v>129</v>
      </c>
      <c r="K190" s="98">
        <v>5</v>
      </c>
      <c r="L190" s="98"/>
      <c r="M190" s="99">
        <v>496.9</v>
      </c>
      <c r="N190" s="99">
        <v>771</v>
      </c>
      <c r="O190" s="99">
        <v>977</v>
      </c>
      <c r="P190" s="99">
        <v>260.4</v>
      </c>
      <c r="Q190" s="99"/>
      <c r="R190" s="99">
        <v>1030.1</v>
      </c>
    </row>
    <row r="191" spans="1:18" ht="15">
      <c r="A191" s="100">
        <f t="shared" si="11"/>
        <v>11</v>
      </c>
      <c r="B191" s="101" t="s">
        <v>51</v>
      </c>
      <c r="C191" s="100">
        <v>106</v>
      </c>
      <c r="D191" s="100" t="s">
        <v>41</v>
      </c>
      <c r="E191" s="100"/>
      <c r="F191" s="112">
        <v>6128.1</v>
      </c>
      <c r="G191" s="103">
        <v>3</v>
      </c>
      <c r="H191" s="103">
        <v>9</v>
      </c>
      <c r="I191" s="103">
        <v>3</v>
      </c>
      <c r="J191" s="103" t="s">
        <v>129</v>
      </c>
      <c r="K191" s="103">
        <v>3</v>
      </c>
      <c r="L191" s="103"/>
      <c r="M191" s="102">
        <v>298.1</v>
      </c>
      <c r="N191" s="102">
        <v>433.5</v>
      </c>
      <c r="O191" s="102">
        <v>553.9</v>
      </c>
      <c r="P191" s="102">
        <v>186.2</v>
      </c>
      <c r="Q191" s="102"/>
      <c r="R191" s="102">
        <v>966.6</v>
      </c>
    </row>
    <row r="192" spans="1:19" ht="15">
      <c r="A192" s="119">
        <f>A191+1</f>
        <v>12</v>
      </c>
      <c r="B192" s="120" t="s">
        <v>51</v>
      </c>
      <c r="C192" s="119">
        <v>106</v>
      </c>
      <c r="D192" s="119" t="s">
        <v>40</v>
      </c>
      <c r="E192" s="119"/>
      <c r="F192" s="123">
        <v>2987.6</v>
      </c>
      <c r="G192" s="122">
        <v>1</v>
      </c>
      <c r="H192" s="122">
        <v>9</v>
      </c>
      <c r="I192" s="122">
        <v>1</v>
      </c>
      <c r="J192" s="122" t="s">
        <v>129</v>
      </c>
      <c r="K192" s="122">
        <v>1</v>
      </c>
      <c r="L192" s="122"/>
      <c r="M192" s="121">
        <v>238.4</v>
      </c>
      <c r="N192" s="121">
        <v>165</v>
      </c>
      <c r="O192" s="121">
        <v>384.8</v>
      </c>
      <c r="P192" s="121">
        <v>187.5</v>
      </c>
      <c r="Q192" s="121"/>
      <c r="R192" s="121">
        <v>700</v>
      </c>
      <c r="S192" s="227"/>
    </row>
    <row r="193" spans="1:19" s="78" customFormat="1" ht="12.75">
      <c r="A193" s="133">
        <f>A192</f>
        <v>12</v>
      </c>
      <c r="B193" s="134" t="s">
        <v>130</v>
      </c>
      <c r="C193" s="134"/>
      <c r="D193" s="134"/>
      <c r="E193" s="134"/>
      <c r="F193" s="159">
        <f aca="true" t="shared" si="12" ref="F193:R193">SUM(F181:F192)</f>
        <v>88933.24000000002</v>
      </c>
      <c r="G193" s="159">
        <f t="shared" si="12"/>
        <v>48</v>
      </c>
      <c r="H193" s="159">
        <f t="shared" si="12"/>
        <v>101</v>
      </c>
      <c r="I193" s="159">
        <f t="shared" si="12"/>
        <v>48</v>
      </c>
      <c r="J193" s="159">
        <f t="shared" si="12"/>
        <v>0</v>
      </c>
      <c r="K193" s="159">
        <f t="shared" si="12"/>
        <v>40</v>
      </c>
      <c r="L193" s="159">
        <f t="shared" si="12"/>
        <v>0</v>
      </c>
      <c r="M193" s="159">
        <f t="shared" si="12"/>
        <v>3738.1</v>
      </c>
      <c r="N193" s="159">
        <f t="shared" si="12"/>
        <v>8346.5</v>
      </c>
      <c r="O193" s="159">
        <f t="shared" si="12"/>
        <v>13822.699999999997</v>
      </c>
      <c r="P193" s="159">
        <f t="shared" si="12"/>
        <v>17537.100000000002</v>
      </c>
      <c r="Q193" s="159">
        <f t="shared" si="12"/>
        <v>0</v>
      </c>
      <c r="R193" s="159">
        <f t="shared" si="12"/>
        <v>15460.2</v>
      </c>
      <c r="S193" s="230"/>
    </row>
    <row r="194" spans="1:18" ht="14.25">
      <c r="A194" s="94"/>
      <c r="B194" s="94"/>
      <c r="C194" s="94"/>
      <c r="D194" s="94"/>
      <c r="E194" s="94"/>
      <c r="F194" s="196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1:18" ht="12.75">
      <c r="A195" s="198">
        <v>1</v>
      </c>
      <c r="B195" s="199" t="s">
        <v>37</v>
      </c>
      <c r="C195" s="199">
        <v>66</v>
      </c>
      <c r="D195" s="199"/>
      <c r="E195" s="199"/>
      <c r="F195" s="231">
        <v>3257.4</v>
      </c>
      <c r="G195" s="200">
        <v>2</v>
      </c>
      <c r="H195" s="200">
        <v>9</v>
      </c>
      <c r="I195" s="200">
        <v>2</v>
      </c>
      <c r="J195" s="201"/>
      <c r="K195" s="200">
        <v>2</v>
      </c>
      <c r="L195" s="201" t="s">
        <v>131</v>
      </c>
      <c r="M195" s="201">
        <v>0</v>
      </c>
      <c r="N195" s="201">
        <v>585</v>
      </c>
      <c r="O195" s="201"/>
      <c r="P195" s="201">
        <v>1415</v>
      </c>
      <c r="Q195" s="201">
        <v>200</v>
      </c>
      <c r="R195" s="201"/>
    </row>
    <row r="196" spans="1:18" ht="12.75">
      <c r="A196" s="133">
        <f>A195</f>
        <v>1</v>
      </c>
      <c r="B196" s="134" t="s">
        <v>132</v>
      </c>
      <c r="C196" s="134"/>
      <c r="D196" s="134"/>
      <c r="E196" s="134"/>
      <c r="F196" s="135">
        <f aca="true" t="shared" si="13" ref="F196:R196">F195</f>
        <v>3257.4</v>
      </c>
      <c r="G196" s="136">
        <f t="shared" si="13"/>
        <v>2</v>
      </c>
      <c r="H196" s="136">
        <f t="shared" si="13"/>
        <v>9</v>
      </c>
      <c r="I196" s="136">
        <f t="shared" si="13"/>
        <v>2</v>
      </c>
      <c r="J196" s="136">
        <f t="shared" si="13"/>
        <v>0</v>
      </c>
      <c r="K196" s="136">
        <f t="shared" si="13"/>
        <v>2</v>
      </c>
      <c r="L196" s="135" t="str">
        <f t="shared" si="13"/>
        <v>1-8, 37-44</v>
      </c>
      <c r="M196" s="135">
        <f t="shared" si="13"/>
        <v>0</v>
      </c>
      <c r="N196" s="135">
        <f t="shared" si="13"/>
        <v>585</v>
      </c>
      <c r="O196" s="136">
        <f t="shared" si="13"/>
        <v>0</v>
      </c>
      <c r="P196" s="135">
        <f t="shared" si="13"/>
        <v>1415</v>
      </c>
      <c r="Q196" s="135">
        <f t="shared" si="13"/>
        <v>200</v>
      </c>
      <c r="R196" s="135">
        <f t="shared" si="13"/>
        <v>0</v>
      </c>
    </row>
    <row r="197" spans="1:18" ht="14.25">
      <c r="A197" s="94"/>
      <c r="B197" s="94"/>
      <c r="C197" s="94"/>
      <c r="D197" s="94"/>
      <c r="E197" s="94"/>
      <c r="F197" s="196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1:18" ht="15">
      <c r="A198" s="104">
        <v>1</v>
      </c>
      <c r="B198" s="105" t="s">
        <v>37</v>
      </c>
      <c r="C198" s="104">
        <v>128</v>
      </c>
      <c r="D198" s="104"/>
      <c r="E198" s="104"/>
      <c r="F198" s="137">
        <v>7969.9</v>
      </c>
      <c r="G198" s="107">
        <v>4</v>
      </c>
      <c r="H198" s="107">
        <v>9</v>
      </c>
      <c r="I198" s="107">
        <v>4</v>
      </c>
      <c r="J198" s="107"/>
      <c r="K198" s="107">
        <v>4</v>
      </c>
      <c r="L198" s="107"/>
      <c r="M198" s="107">
        <v>246.5</v>
      </c>
      <c r="N198" s="107">
        <v>955.8</v>
      </c>
      <c r="O198" s="107">
        <v>901</v>
      </c>
      <c r="P198" s="107">
        <v>1027</v>
      </c>
      <c r="Q198" s="107"/>
      <c r="R198" s="107">
        <v>1972</v>
      </c>
    </row>
    <row r="199" spans="1:18" ht="15">
      <c r="A199" s="104">
        <f aca="true" t="shared" si="14" ref="A199:A211">A198+1</f>
        <v>2</v>
      </c>
      <c r="B199" s="105" t="s">
        <v>39</v>
      </c>
      <c r="C199" s="104">
        <v>11</v>
      </c>
      <c r="D199" s="104" t="s">
        <v>41</v>
      </c>
      <c r="E199" s="104"/>
      <c r="F199" s="137">
        <v>6986.2</v>
      </c>
      <c r="G199" s="107">
        <v>4</v>
      </c>
      <c r="H199" s="107">
        <v>9</v>
      </c>
      <c r="I199" s="107">
        <v>4</v>
      </c>
      <c r="J199" s="107"/>
      <c r="K199" s="107">
        <v>4</v>
      </c>
      <c r="L199" s="107"/>
      <c r="M199" s="107"/>
      <c r="N199" s="107">
        <v>1011.9</v>
      </c>
      <c r="O199" s="107">
        <v>1273</v>
      </c>
      <c r="P199" s="107">
        <v>5523</v>
      </c>
      <c r="Q199" s="107"/>
      <c r="R199" s="107"/>
    </row>
    <row r="200" spans="1:18" ht="15">
      <c r="A200" s="104">
        <f t="shared" si="14"/>
        <v>3</v>
      </c>
      <c r="B200" s="202" t="s">
        <v>42</v>
      </c>
      <c r="C200" s="203">
        <v>3</v>
      </c>
      <c r="D200" s="203"/>
      <c r="E200" s="203"/>
      <c r="F200" s="232">
        <v>5886.9</v>
      </c>
      <c r="G200" s="204">
        <v>3</v>
      </c>
      <c r="H200" s="204">
        <v>9</v>
      </c>
      <c r="I200" s="204">
        <v>3</v>
      </c>
      <c r="J200" s="204"/>
      <c r="K200" s="204">
        <v>3</v>
      </c>
      <c r="L200" s="204"/>
      <c r="M200" s="204">
        <v>122.1</v>
      </c>
      <c r="N200" s="204">
        <v>833.2</v>
      </c>
      <c r="O200" s="204">
        <v>700</v>
      </c>
      <c r="P200" s="204">
        <v>2200</v>
      </c>
      <c r="Q200" s="204">
        <v>3513</v>
      </c>
      <c r="R200" s="204"/>
    </row>
    <row r="201" spans="1:18" ht="15">
      <c r="A201" s="95">
        <f t="shared" si="14"/>
        <v>4</v>
      </c>
      <c r="B201" s="96" t="s">
        <v>43</v>
      </c>
      <c r="C201" s="95">
        <v>126</v>
      </c>
      <c r="D201" s="95"/>
      <c r="E201" s="95"/>
      <c r="F201" s="98">
        <v>20596.09</v>
      </c>
      <c r="G201" s="98">
        <v>9</v>
      </c>
      <c r="H201" s="205">
        <v>9</v>
      </c>
      <c r="I201" s="98">
        <v>7</v>
      </c>
      <c r="J201" s="98"/>
      <c r="K201" s="98">
        <v>8</v>
      </c>
      <c r="L201" s="98"/>
      <c r="M201" s="98">
        <v>1034</v>
      </c>
      <c r="N201" s="98">
        <v>1554</v>
      </c>
      <c r="O201" s="98">
        <v>2816</v>
      </c>
      <c r="P201" s="98">
        <v>5272</v>
      </c>
      <c r="Q201" s="98">
        <v>1570</v>
      </c>
      <c r="R201" s="98">
        <v>2160</v>
      </c>
    </row>
    <row r="202" spans="1:18" ht="15">
      <c r="A202" s="128">
        <f>A201+1</f>
        <v>5</v>
      </c>
      <c r="B202" s="129" t="s">
        <v>39</v>
      </c>
      <c r="C202" s="128">
        <v>9</v>
      </c>
      <c r="D202" s="128"/>
      <c r="E202" s="128"/>
      <c r="F202" s="131">
        <v>7812.65</v>
      </c>
      <c r="G202" s="131">
        <v>4</v>
      </c>
      <c r="H202" s="131">
        <v>9</v>
      </c>
      <c r="I202" s="131">
        <v>4</v>
      </c>
      <c r="J202" s="131"/>
      <c r="K202" s="131">
        <v>4</v>
      </c>
      <c r="L202" s="131"/>
      <c r="M202" s="131"/>
      <c r="N202" s="131">
        <v>1196</v>
      </c>
      <c r="O202" s="131">
        <v>1342</v>
      </c>
      <c r="P202" s="131">
        <v>1665</v>
      </c>
      <c r="Q202" s="131">
        <v>2826</v>
      </c>
      <c r="R202" s="131"/>
    </row>
    <row r="203" spans="1:18" ht="15">
      <c r="A203" s="176">
        <f t="shared" si="14"/>
        <v>6</v>
      </c>
      <c r="B203" s="177" t="s">
        <v>35</v>
      </c>
      <c r="C203" s="176">
        <v>72</v>
      </c>
      <c r="D203" s="176"/>
      <c r="E203" s="176"/>
      <c r="F203" s="179">
        <v>4588.14</v>
      </c>
      <c r="G203" s="179">
        <v>2</v>
      </c>
      <c r="H203" s="179">
        <v>10</v>
      </c>
      <c r="I203" s="179">
        <v>2</v>
      </c>
      <c r="J203" s="179"/>
      <c r="K203" s="179">
        <v>2</v>
      </c>
      <c r="L203" s="179"/>
      <c r="M203" s="179">
        <v>332.9</v>
      </c>
      <c r="N203" s="179">
        <v>460.8</v>
      </c>
      <c r="O203" s="179">
        <v>862</v>
      </c>
      <c r="P203" s="179">
        <v>284</v>
      </c>
      <c r="Q203" s="179">
        <v>103</v>
      </c>
      <c r="R203" s="179">
        <v>371</v>
      </c>
    </row>
    <row r="204" spans="1:18" ht="15">
      <c r="A204" s="176">
        <f t="shared" si="14"/>
        <v>7</v>
      </c>
      <c r="B204" s="177" t="s">
        <v>37</v>
      </c>
      <c r="C204" s="176">
        <v>126</v>
      </c>
      <c r="D204" s="176"/>
      <c r="E204" s="176"/>
      <c r="F204" s="191">
        <v>5676.8</v>
      </c>
      <c r="G204" s="179">
        <v>3</v>
      </c>
      <c r="H204" s="179">
        <v>9</v>
      </c>
      <c r="I204" s="179">
        <v>3</v>
      </c>
      <c r="J204" s="179"/>
      <c r="K204" s="179">
        <v>3</v>
      </c>
      <c r="L204" s="179"/>
      <c r="M204" s="179">
        <v>269.7</v>
      </c>
      <c r="N204" s="179">
        <v>489.7</v>
      </c>
      <c r="O204" s="179">
        <v>925</v>
      </c>
      <c r="P204" s="179">
        <v>1575</v>
      </c>
      <c r="Q204" s="179"/>
      <c r="R204" s="179">
        <v>1029</v>
      </c>
    </row>
    <row r="205" spans="1:18" ht="15">
      <c r="A205" s="185">
        <f t="shared" si="14"/>
        <v>8</v>
      </c>
      <c r="B205" s="186" t="s">
        <v>37</v>
      </c>
      <c r="C205" s="185">
        <v>124</v>
      </c>
      <c r="D205" s="185"/>
      <c r="E205" s="185"/>
      <c r="F205" s="189">
        <v>3176</v>
      </c>
      <c r="G205" s="188">
        <v>1</v>
      </c>
      <c r="H205" s="188">
        <v>9</v>
      </c>
      <c r="I205" s="188">
        <v>1</v>
      </c>
      <c r="J205" s="188"/>
      <c r="K205" s="188">
        <v>1</v>
      </c>
      <c r="L205" s="188"/>
      <c r="M205" s="188">
        <v>268.2</v>
      </c>
      <c r="N205" s="188">
        <v>183.7</v>
      </c>
      <c r="O205" s="188">
        <v>1125</v>
      </c>
      <c r="P205" s="188"/>
      <c r="Q205" s="188"/>
      <c r="R205" s="188"/>
    </row>
    <row r="206" spans="1:18" ht="15">
      <c r="A206" s="206">
        <f t="shared" si="14"/>
        <v>9</v>
      </c>
      <c r="B206" s="105" t="s">
        <v>32</v>
      </c>
      <c r="C206" s="104">
        <v>98</v>
      </c>
      <c r="D206" s="104"/>
      <c r="E206" s="104"/>
      <c r="F206" s="137">
        <v>6309.6</v>
      </c>
      <c r="G206" s="107">
        <v>3</v>
      </c>
      <c r="H206" s="107">
        <v>10</v>
      </c>
      <c r="I206" s="107">
        <v>3</v>
      </c>
      <c r="J206" s="107" t="s">
        <v>129</v>
      </c>
      <c r="K206" s="107">
        <v>3</v>
      </c>
      <c r="L206" s="107"/>
      <c r="M206" s="107">
        <v>307.2</v>
      </c>
      <c r="N206" s="107">
        <v>506</v>
      </c>
      <c r="O206" s="107">
        <v>1456</v>
      </c>
      <c r="P206" s="107">
        <v>614</v>
      </c>
      <c r="Q206" s="107"/>
      <c r="R206" s="107">
        <v>823</v>
      </c>
    </row>
    <row r="207" spans="1:18" ht="15">
      <c r="A207" s="207">
        <f t="shared" si="14"/>
        <v>10</v>
      </c>
      <c r="B207" s="202" t="s">
        <v>43</v>
      </c>
      <c r="C207" s="203">
        <v>113</v>
      </c>
      <c r="D207" s="203"/>
      <c r="E207" s="203"/>
      <c r="F207" s="204">
        <v>12282.82</v>
      </c>
      <c r="G207" s="204">
        <v>5</v>
      </c>
      <c r="H207" s="204">
        <v>9</v>
      </c>
      <c r="I207" s="204"/>
      <c r="J207" s="204"/>
      <c r="K207" s="204">
        <v>5</v>
      </c>
      <c r="L207" s="204"/>
      <c r="M207" s="204"/>
      <c r="N207" s="204">
        <v>925.4</v>
      </c>
      <c r="O207" s="204">
        <v>559</v>
      </c>
      <c r="P207" s="204">
        <v>503</v>
      </c>
      <c r="Q207" s="204"/>
      <c r="R207" s="204"/>
    </row>
    <row r="208" spans="1:18" ht="15">
      <c r="A208" s="208">
        <f>A207+1</f>
        <v>11</v>
      </c>
      <c r="B208" s="162" t="s">
        <v>39</v>
      </c>
      <c r="C208" s="161">
        <v>1</v>
      </c>
      <c r="D208" s="161" t="s">
        <v>40</v>
      </c>
      <c r="E208" s="161"/>
      <c r="F208" s="163">
        <v>4203.4</v>
      </c>
      <c r="G208" s="164">
        <v>6</v>
      </c>
      <c r="H208" s="164">
        <v>5</v>
      </c>
      <c r="I208" s="164"/>
      <c r="J208" s="164"/>
      <c r="K208" s="164"/>
      <c r="L208" s="164"/>
      <c r="M208" s="164"/>
      <c r="N208" s="164">
        <v>588</v>
      </c>
      <c r="O208" s="164">
        <v>1784</v>
      </c>
      <c r="P208" s="164">
        <v>3075</v>
      </c>
      <c r="Q208" s="164"/>
      <c r="R208" s="164"/>
    </row>
    <row r="209" spans="1:18" ht="15">
      <c r="A209" s="128">
        <f t="shared" si="14"/>
        <v>12</v>
      </c>
      <c r="B209" s="129" t="s">
        <v>32</v>
      </c>
      <c r="C209" s="128">
        <v>109</v>
      </c>
      <c r="D209" s="128"/>
      <c r="E209" s="128"/>
      <c r="F209" s="130">
        <v>3583.8</v>
      </c>
      <c r="G209" s="131">
        <v>6</v>
      </c>
      <c r="H209" s="131">
        <v>5</v>
      </c>
      <c r="I209" s="131"/>
      <c r="J209" s="131"/>
      <c r="K209" s="131"/>
      <c r="L209" s="131"/>
      <c r="M209" s="131">
        <v>30.2</v>
      </c>
      <c r="N209" s="131">
        <v>543.1</v>
      </c>
      <c r="O209" s="131">
        <v>594</v>
      </c>
      <c r="P209" s="131">
        <v>133</v>
      </c>
      <c r="Q209" s="131"/>
      <c r="R209" s="131">
        <v>1454</v>
      </c>
    </row>
    <row r="210" spans="1:18" ht="15">
      <c r="A210" s="128">
        <f t="shared" si="14"/>
        <v>13</v>
      </c>
      <c r="B210" s="129" t="s">
        <v>35</v>
      </c>
      <c r="C210" s="128">
        <v>62</v>
      </c>
      <c r="D210" s="128"/>
      <c r="E210" s="128"/>
      <c r="F210" s="130">
        <v>4192.3</v>
      </c>
      <c r="G210" s="131">
        <v>6</v>
      </c>
      <c r="H210" s="131">
        <v>5</v>
      </c>
      <c r="I210" s="131"/>
      <c r="J210" s="131"/>
      <c r="K210" s="131"/>
      <c r="L210" s="131"/>
      <c r="M210" s="131"/>
      <c r="N210" s="131">
        <v>557.3</v>
      </c>
      <c r="O210" s="131">
        <v>1379</v>
      </c>
      <c r="P210" s="131">
        <v>918</v>
      </c>
      <c r="Q210" s="131"/>
      <c r="R210" s="131">
        <v>1398</v>
      </c>
    </row>
    <row r="211" spans="1:18" ht="15">
      <c r="A211" s="128">
        <f t="shared" si="14"/>
        <v>14</v>
      </c>
      <c r="B211" s="129" t="s">
        <v>35</v>
      </c>
      <c r="C211" s="128">
        <v>64</v>
      </c>
      <c r="D211" s="128"/>
      <c r="E211" s="128"/>
      <c r="F211" s="130">
        <v>3957</v>
      </c>
      <c r="G211" s="131">
        <v>6</v>
      </c>
      <c r="H211" s="131">
        <v>5</v>
      </c>
      <c r="I211" s="131"/>
      <c r="J211" s="131"/>
      <c r="K211" s="131"/>
      <c r="L211" s="131"/>
      <c r="M211" s="131"/>
      <c r="N211" s="131">
        <v>601.9</v>
      </c>
      <c r="O211" s="131">
        <v>1253</v>
      </c>
      <c r="P211" s="131">
        <v>2335</v>
      </c>
      <c r="Q211" s="131"/>
      <c r="R211" s="131">
        <v>1452</v>
      </c>
    </row>
    <row r="212" spans="1:18" ht="14.25">
      <c r="A212" s="133">
        <f>A211</f>
        <v>14</v>
      </c>
      <c r="B212" s="158" t="s">
        <v>133</v>
      </c>
      <c r="C212" s="209"/>
      <c r="D212" s="209"/>
      <c r="E212" s="209"/>
      <c r="F212" s="197">
        <f>SUM(F198:F211)</f>
        <v>97221.6</v>
      </c>
      <c r="G212" s="197">
        <f>SUM(G198:G211)</f>
        <v>62</v>
      </c>
      <c r="H212" s="197">
        <f aca="true" t="shared" si="15" ref="H212:R212">SUM(H198:H211)</f>
        <v>112</v>
      </c>
      <c r="I212" s="197">
        <f t="shared" si="15"/>
        <v>31</v>
      </c>
      <c r="J212" s="197">
        <f t="shared" si="15"/>
        <v>0</v>
      </c>
      <c r="K212" s="197">
        <f t="shared" si="15"/>
        <v>37</v>
      </c>
      <c r="L212" s="197">
        <f t="shared" si="15"/>
        <v>0</v>
      </c>
      <c r="M212" s="197">
        <f t="shared" si="15"/>
        <v>2610.7999999999997</v>
      </c>
      <c r="N212" s="197">
        <f t="shared" si="15"/>
        <v>10406.8</v>
      </c>
      <c r="O212" s="197">
        <f t="shared" si="15"/>
        <v>16969</v>
      </c>
      <c r="P212" s="197">
        <f t="shared" si="15"/>
        <v>25124</v>
      </c>
      <c r="Q212" s="197">
        <f t="shared" si="15"/>
        <v>8012</v>
      </c>
      <c r="R212" s="197">
        <f t="shared" si="15"/>
        <v>10659</v>
      </c>
    </row>
    <row r="213" spans="1:18" ht="12.75">
      <c r="A213" s="210"/>
      <c r="B213" s="83"/>
      <c r="C213" s="83"/>
      <c r="D213" s="83"/>
      <c r="E213" s="83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</row>
    <row r="214" spans="1:18" ht="12.75">
      <c r="A214" s="210"/>
      <c r="B214" s="83"/>
      <c r="C214" s="83"/>
      <c r="D214" s="83"/>
      <c r="E214" s="83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</row>
    <row r="215" spans="1:18" ht="12.75">
      <c r="A215" s="212">
        <f>A27+A49+A92+A116+A179+A193+A196+A212</f>
        <v>193</v>
      </c>
      <c r="B215" s="213" t="s">
        <v>134</v>
      </c>
      <c r="C215" s="213"/>
      <c r="D215" s="213"/>
      <c r="E215" s="213"/>
      <c r="F215" s="214">
        <f>F27+F48+F92+F116+F179+F193+F196+F212</f>
        <v>1243246.0799999998</v>
      </c>
      <c r="G215" s="215">
        <f>G27+G49+G92+G116+G179+G193+G196+G212</f>
        <v>884</v>
      </c>
      <c r="H215" s="215">
        <f>H27+H49+H92+H116+H179+H193+H196+H212</f>
        <v>1601</v>
      </c>
      <c r="I215" s="215">
        <f>I27+I49+I92+I116+I179+I193+I196+I212</f>
        <v>646</v>
      </c>
      <c r="J215" s="215">
        <f>J27+J49+J92+J116+J179+J193+J196+J212</f>
        <v>0</v>
      </c>
      <c r="K215" s="215">
        <f>K27+K49+K92+K116+K179+K193+K196+K212</f>
        <v>577</v>
      </c>
      <c r="L215" s="216"/>
      <c r="M215" s="216">
        <f aca="true" t="shared" si="16" ref="M215:R215">M27+M49+M92+M116+M179+M193+M196+M212</f>
        <v>61076.799999999996</v>
      </c>
      <c r="N215" s="217">
        <f t="shared" si="16"/>
        <v>146414.59999999998</v>
      </c>
      <c r="O215" s="217">
        <f t="shared" si="16"/>
        <v>329757.44</v>
      </c>
      <c r="P215" s="217">
        <f t="shared" si="16"/>
        <v>390558.98</v>
      </c>
      <c r="Q215" s="215">
        <f t="shared" si="16"/>
        <v>8212</v>
      </c>
      <c r="R215" s="218">
        <f t="shared" si="16"/>
        <v>278746.3</v>
      </c>
    </row>
  </sheetData>
  <sheetProtection/>
  <mergeCells count="5">
    <mergeCell ref="B2:B3"/>
    <mergeCell ref="C2:C3"/>
    <mergeCell ref="D2:D3"/>
    <mergeCell ref="E2:E3"/>
    <mergeCell ref="G2:L2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pto2</dc:creator>
  <cp:keywords/>
  <dc:description/>
  <cp:lastModifiedBy>Nastya</cp:lastModifiedBy>
  <cp:lastPrinted>2013-02-25T08:09:32Z</cp:lastPrinted>
  <dcterms:created xsi:type="dcterms:W3CDTF">2010-03-31T03:12:20Z</dcterms:created>
  <dcterms:modified xsi:type="dcterms:W3CDTF">2013-02-25T08:13:05Z</dcterms:modified>
  <cp:category/>
  <cp:version/>
  <cp:contentType/>
  <cp:contentStatus/>
</cp:coreProperties>
</file>